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ega2022\Ngulam_Clientes\AsistenciaClientes\"/>
    </mc:Choice>
  </mc:AlternateContent>
  <xr:revisionPtr revIDLastSave="0" documentId="13_ncr:1_{3524B0EE-FF51-49B6-8578-816421CBA7F4}" xr6:coauthVersionLast="47" xr6:coauthVersionMax="47" xr10:uidLastSave="{00000000-0000-0000-0000-000000000000}"/>
  <bookViews>
    <workbookView xWindow="-28920" yWindow="-120" windowWidth="29040" windowHeight="15840" xr2:uid="{D87DD456-5888-447F-BB54-E9A9D46EC858}"/>
  </bookViews>
  <sheets>
    <sheet name="Simulador" sheetId="1" r:id="rId1"/>
    <sheet name="Feriados" sheetId="8" r:id="rId2"/>
    <sheet name="Hoja2" sheetId="2" state="hidden" r:id="rId3"/>
    <sheet name="Hoja3" sheetId="3" state="hidden" r:id="rId4"/>
  </sheets>
  <externalReferences>
    <externalReference r:id="rId5"/>
    <externalReference r:id="rId6"/>
  </externalReferences>
  <definedNames>
    <definedName name="_xlnm._FilterDatabase" localSheetId="2" hidden="1">Hoja2!#REF!</definedName>
    <definedName name="Años">[1]Auxiliar!$F$1:$F$25</definedName>
    <definedName name="Comprobantes">'[2]Tabla de Comprobantes'!$A$3:$A$65</definedName>
    <definedName name="DatosExternos_1" localSheetId="1" hidden="1">Feriados!$B$1:$D$20</definedName>
    <definedName name="Feriado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Meses">[1]Auxiliar!$A$1:$A$12</definedName>
    <definedName name="Meses_num">[1]Auxiliar!$A$1:$B$12</definedName>
    <definedName name="PC">'[2]Tabla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K27" i="1"/>
  <c r="M27" i="1" l="1"/>
  <c r="F34" i="1"/>
  <c r="C37" i="1" s="1"/>
  <c r="C18" i="1"/>
  <c r="M33" i="1" s="1"/>
  <c r="D18" i="1"/>
  <c r="M9" i="1" s="1"/>
  <c r="E18" i="1"/>
  <c r="O9" i="1"/>
  <c r="C44" i="1"/>
  <c r="F46" i="1"/>
  <c r="C15" i="1"/>
  <c r="F18" i="1" s="1"/>
  <c r="B46" i="2"/>
  <c r="L33" i="1"/>
  <c r="F2" i="3"/>
  <c r="C33" i="2"/>
  <c r="C27" i="2"/>
  <c r="C31" i="2"/>
  <c r="C43" i="2"/>
  <c r="C41" i="2"/>
  <c r="C39" i="2"/>
  <c r="C37" i="2"/>
  <c r="C35" i="2"/>
  <c r="C29" i="2"/>
  <c r="C25" i="2"/>
  <c r="N9" i="1" l="1"/>
  <c r="C49" i="1"/>
  <c r="C20" i="1"/>
  <c r="K29" i="1" s="1"/>
  <c r="Q29" i="1" s="1"/>
  <c r="L9" i="1"/>
  <c r="C30" i="1"/>
  <c r="G2" i="3"/>
  <c r="H2" i="3" s="1"/>
  <c r="F3" i="3"/>
  <c r="I2" i="3"/>
  <c r="N33" i="1"/>
  <c r="O33" i="1"/>
  <c r="K9" i="1" l="1"/>
  <c r="K13" i="1" s="1"/>
  <c r="Q15" i="1" s="1"/>
  <c r="R15" i="1" s="1"/>
  <c r="K15" i="1" s="1"/>
  <c r="K20" i="1" s="1"/>
  <c r="K31" i="1" s="1"/>
  <c r="Q27" i="1"/>
  <c r="P33" i="1"/>
  <c r="K33" i="1" s="1"/>
  <c r="Q33" i="1" s="1"/>
  <c r="J2" i="3"/>
  <c r="F4" i="3"/>
  <c r="G3" i="3"/>
  <c r="H3" i="3" s="1"/>
  <c r="I3" i="3"/>
  <c r="E1" i="3" l="1"/>
  <c r="F5" i="3"/>
  <c r="G4" i="3"/>
  <c r="H4" i="3" s="1"/>
  <c r="I4" i="3"/>
  <c r="J3" i="3"/>
  <c r="Q31" i="1"/>
  <c r="K35" i="1"/>
  <c r="J4" i="3" l="1"/>
  <c r="I5" i="3"/>
  <c r="G5" i="3"/>
  <c r="H5" i="3" s="1"/>
  <c r="F6" i="3"/>
  <c r="J5" i="3" l="1"/>
  <c r="G6" i="3"/>
  <c r="H6" i="3" s="1"/>
  <c r="F7" i="3"/>
  <c r="I6" i="3"/>
  <c r="J6" i="3" l="1"/>
  <c r="F8" i="3"/>
  <c r="I7" i="3"/>
  <c r="G7" i="3"/>
  <c r="H7" i="3" s="1"/>
  <c r="J7" i="3" l="1"/>
  <c r="F9" i="3"/>
  <c r="G8" i="3"/>
  <c r="H8" i="3" s="1"/>
  <c r="I8" i="3"/>
  <c r="J8" i="3" l="1"/>
  <c r="I9" i="3"/>
  <c r="G9" i="3"/>
  <c r="H9" i="3" s="1"/>
  <c r="F10" i="3"/>
  <c r="G10" i="3" l="1"/>
  <c r="H10" i="3" s="1"/>
  <c r="F11" i="3"/>
  <c r="I10" i="3"/>
  <c r="J9" i="3"/>
  <c r="J10" i="3" l="1"/>
  <c r="F12" i="3"/>
  <c r="G11" i="3"/>
  <c r="H11" i="3" s="1"/>
  <c r="I11" i="3"/>
  <c r="J11" i="3" l="1"/>
  <c r="F13" i="3"/>
  <c r="G12" i="3"/>
  <c r="H12" i="3" s="1"/>
  <c r="I12" i="3"/>
  <c r="J12" i="3" l="1"/>
  <c r="I13" i="3"/>
  <c r="G13" i="3"/>
  <c r="H13" i="3" s="1"/>
  <c r="F14" i="3"/>
  <c r="G14" i="3" l="1"/>
  <c r="H14" i="3" s="1"/>
  <c r="F15" i="3"/>
  <c r="I14" i="3"/>
  <c r="J13" i="3"/>
  <c r="J14" i="3" l="1"/>
  <c r="F16" i="3"/>
  <c r="I15" i="3"/>
  <c r="G15" i="3"/>
  <c r="H15" i="3" s="1"/>
  <c r="J15" i="3" l="1"/>
  <c r="F17" i="3"/>
  <c r="I16" i="3"/>
  <c r="G16" i="3"/>
  <c r="H16" i="3" s="1"/>
  <c r="J16" i="3" l="1"/>
  <c r="I17" i="3"/>
  <c r="G17" i="3"/>
  <c r="H17" i="3" s="1"/>
  <c r="F18" i="3"/>
  <c r="G18" i="3" l="1"/>
  <c r="H18" i="3" s="1"/>
  <c r="I18" i="3"/>
  <c r="F19" i="3"/>
  <c r="J17" i="3"/>
  <c r="J18" i="3" l="1"/>
  <c r="F20" i="3"/>
  <c r="I19" i="3"/>
  <c r="G19" i="3"/>
  <c r="H19" i="3" s="1"/>
  <c r="J19" i="3" l="1"/>
  <c r="F21" i="3"/>
  <c r="G20" i="3"/>
  <c r="H20" i="3" s="1"/>
  <c r="I20" i="3"/>
  <c r="J20" i="3" l="1"/>
  <c r="I21" i="3"/>
  <c r="G21" i="3"/>
  <c r="H21" i="3" s="1"/>
  <c r="F22" i="3"/>
  <c r="G22" i="3" l="1"/>
  <c r="H22" i="3" s="1"/>
  <c r="I22" i="3"/>
  <c r="F23" i="3"/>
  <c r="J21" i="3"/>
  <c r="J22" i="3" l="1"/>
  <c r="F24" i="3"/>
  <c r="I23" i="3"/>
  <c r="G23" i="3"/>
  <c r="H23" i="3" s="1"/>
  <c r="J23" i="3" l="1"/>
  <c r="F25" i="3"/>
  <c r="I24" i="3"/>
  <c r="G24" i="3"/>
  <c r="H24" i="3" s="1"/>
  <c r="J24" i="3" l="1"/>
  <c r="I25" i="3"/>
  <c r="G25" i="3"/>
  <c r="H25" i="3" s="1"/>
  <c r="F26" i="3"/>
  <c r="G26" i="3" l="1"/>
  <c r="H26" i="3" s="1"/>
  <c r="I26" i="3"/>
  <c r="F27" i="3"/>
  <c r="J25" i="3"/>
  <c r="J26" i="3" l="1"/>
  <c r="F28" i="3"/>
  <c r="I27" i="3"/>
  <c r="G27" i="3"/>
  <c r="H27" i="3" s="1"/>
  <c r="J27" i="3" l="1"/>
  <c r="F29" i="3"/>
  <c r="G28" i="3"/>
  <c r="H28" i="3" s="1"/>
  <c r="I28" i="3"/>
  <c r="J28" i="3" l="1"/>
  <c r="I29" i="3"/>
  <c r="G29" i="3"/>
  <c r="H29" i="3" s="1"/>
  <c r="F30" i="3"/>
  <c r="G30" i="3" l="1"/>
  <c r="H30" i="3" s="1"/>
  <c r="I30" i="3"/>
  <c r="F31" i="3"/>
  <c r="J29" i="3"/>
  <c r="J30" i="3" l="1"/>
  <c r="F32" i="3"/>
  <c r="I31" i="3"/>
  <c r="G31" i="3"/>
  <c r="H31" i="3" s="1"/>
  <c r="F33" i="3" l="1"/>
  <c r="I32" i="3"/>
  <c r="G32" i="3"/>
  <c r="H32" i="3" s="1"/>
  <c r="J31" i="3"/>
  <c r="J32" i="3" l="1"/>
  <c r="I33" i="3"/>
  <c r="G33" i="3"/>
  <c r="H33" i="3" s="1"/>
  <c r="F34" i="3"/>
  <c r="G34" i="3" l="1"/>
  <c r="H34" i="3" s="1"/>
  <c r="I34" i="3"/>
  <c r="F35" i="3"/>
  <c r="J33" i="3"/>
  <c r="J34" i="3" l="1"/>
  <c r="F36" i="3"/>
  <c r="I35" i="3"/>
  <c r="G35" i="3"/>
  <c r="H35" i="3" s="1"/>
  <c r="J35" i="3" l="1"/>
  <c r="F37" i="3"/>
  <c r="G36" i="3"/>
  <c r="H36" i="3" s="1"/>
  <c r="I36" i="3"/>
  <c r="J36" i="3" l="1"/>
  <c r="I37" i="3"/>
  <c r="G37" i="3"/>
  <c r="H37" i="3" s="1"/>
  <c r="F38" i="3"/>
  <c r="G38" i="3" l="1"/>
  <c r="H38" i="3" s="1"/>
  <c r="I38" i="3"/>
  <c r="F39" i="3"/>
  <c r="J37" i="3"/>
  <c r="F40" i="3" l="1"/>
  <c r="I39" i="3"/>
  <c r="G39" i="3"/>
  <c r="H39" i="3" s="1"/>
  <c r="J38" i="3"/>
  <c r="J39" i="3" l="1"/>
  <c r="F41" i="3"/>
  <c r="I40" i="3"/>
  <c r="G40" i="3"/>
  <c r="H40" i="3" s="1"/>
  <c r="J40" i="3" l="1"/>
  <c r="I41" i="3"/>
  <c r="G41" i="3"/>
  <c r="H41" i="3" s="1"/>
  <c r="F42" i="3"/>
  <c r="G42" i="3" l="1"/>
  <c r="H42" i="3" s="1"/>
  <c r="I42" i="3"/>
  <c r="F43" i="3"/>
  <c r="J41" i="3"/>
  <c r="J42" i="3" l="1"/>
  <c r="F44" i="3"/>
  <c r="I43" i="3"/>
  <c r="G43" i="3"/>
  <c r="H43" i="3" s="1"/>
  <c r="J43" i="3" l="1"/>
  <c r="F45" i="3"/>
  <c r="G44" i="3"/>
  <c r="H44" i="3" s="1"/>
  <c r="I44" i="3"/>
  <c r="J44" i="3" l="1"/>
  <c r="I45" i="3"/>
  <c r="G45" i="3"/>
  <c r="H45" i="3" s="1"/>
  <c r="F46" i="3"/>
  <c r="G46" i="3" l="1"/>
  <c r="H46" i="3" s="1"/>
  <c r="I46" i="3"/>
  <c r="F47" i="3"/>
  <c r="J45" i="3"/>
  <c r="J46" i="3" l="1"/>
  <c r="F48" i="3"/>
  <c r="I47" i="3"/>
  <c r="G47" i="3"/>
  <c r="H47" i="3" s="1"/>
  <c r="J47" i="3" l="1"/>
  <c r="F49" i="3"/>
  <c r="I48" i="3"/>
  <c r="G48" i="3"/>
  <c r="H48" i="3" s="1"/>
  <c r="J48" i="3" l="1"/>
  <c r="I49" i="3"/>
  <c r="G49" i="3"/>
  <c r="H49" i="3" s="1"/>
  <c r="F50" i="3"/>
  <c r="G50" i="3" l="1"/>
  <c r="H50" i="3" s="1"/>
  <c r="I50" i="3"/>
  <c r="F51" i="3"/>
  <c r="J49" i="3"/>
  <c r="J50" i="3" l="1"/>
  <c r="F52" i="3"/>
  <c r="I51" i="3"/>
  <c r="G51" i="3"/>
  <c r="H51" i="3" s="1"/>
  <c r="J51" i="3" l="1"/>
  <c r="F53" i="3"/>
  <c r="G52" i="3"/>
  <c r="H52" i="3" s="1"/>
  <c r="I52" i="3"/>
  <c r="J52" i="3" l="1"/>
  <c r="I53" i="3"/>
  <c r="G53" i="3"/>
  <c r="H53" i="3" s="1"/>
  <c r="F54" i="3"/>
  <c r="G54" i="3" l="1"/>
  <c r="H54" i="3" s="1"/>
  <c r="I54" i="3"/>
  <c r="F55" i="3"/>
  <c r="J53" i="3"/>
  <c r="J54" i="3" l="1"/>
  <c r="F56" i="3"/>
  <c r="I55" i="3"/>
  <c r="G55" i="3"/>
  <c r="H55" i="3" s="1"/>
  <c r="J55" i="3" l="1"/>
  <c r="F57" i="3"/>
  <c r="I56" i="3"/>
  <c r="G56" i="3"/>
  <c r="H56" i="3" s="1"/>
  <c r="J56" i="3" l="1"/>
  <c r="I57" i="3"/>
  <c r="G57" i="3"/>
  <c r="H57" i="3" s="1"/>
  <c r="F58" i="3"/>
  <c r="G58" i="3" l="1"/>
  <c r="H58" i="3" s="1"/>
  <c r="I58" i="3"/>
  <c r="F59" i="3"/>
  <c r="J57" i="3"/>
  <c r="J58" i="3" l="1"/>
  <c r="F60" i="3"/>
  <c r="I59" i="3"/>
  <c r="G59" i="3"/>
  <c r="H59" i="3" s="1"/>
  <c r="J59" i="3" l="1"/>
  <c r="G60" i="3"/>
  <c r="H60" i="3" s="1"/>
  <c r="L14" i="3" s="1"/>
  <c r="I60" i="3"/>
  <c r="J60" i="3" l="1"/>
  <c r="L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CF160C-839F-4F45-A33A-F566DF074991}" keepAlive="1" name="Consulta - Tabla 1" description="Conexión a la consulta 'Tabla 1' en el libro." type="5" refreshedVersion="8" background="1" saveData="1">
    <dbPr connection="Provider=Microsoft.Mashup.OleDb.1;Data Source=$Workbook$;Location=&quot;Tabla 1&quot;;Extended Properties=&quot;&quot;" command="SELECT * FROM [Tabla 1]"/>
  </connection>
</connections>
</file>

<file path=xl/sharedStrings.xml><?xml version="1.0" encoding="utf-8"?>
<sst xmlns="http://schemas.openxmlformats.org/spreadsheetml/2006/main" count="182" uniqueCount="132">
  <si>
    <t>CÁLCULO DE FINIQUITO</t>
  </si>
  <si>
    <t>Art. 161-1: Necesidades de la empresa</t>
  </si>
  <si>
    <t>Art. 161-2: Desahucio</t>
  </si>
  <si>
    <t>Art. 160-1: Falta probidad, vías de hecho, injurias o conducta grave</t>
  </si>
  <si>
    <t>Art. 160-2: Negociaciones del trabajador dentro del giro del negocio</t>
  </si>
  <si>
    <t>Art. 160-3: No concurrencia a labores sin causa justificada</t>
  </si>
  <si>
    <t>Art. 160-4: Abandono del trabajo por parte del trabajador</t>
  </si>
  <si>
    <t>Art. 160-5: Actos que afectan a la seguridad</t>
  </si>
  <si>
    <t>Art. 160-6: Perjuicio material causado intencionalmente</t>
  </si>
  <si>
    <t>Art. 160-7: Incumplimiento grave de las obligaciones</t>
  </si>
  <si>
    <t>Art. 159-1: Mutuo acuerdo</t>
  </si>
  <si>
    <t>Art. 159-2: Renuncia del trabajador</t>
  </si>
  <si>
    <t>Art. 159-3: Muerte del trabajador</t>
  </si>
  <si>
    <t>Art. 159-4: Vencimiento plazo convenido (contratos plazo fijo)</t>
  </si>
  <si>
    <t>Art. 159-5: Conclusión del trabajo que dio origen al contrato (obra o faena)</t>
  </si>
  <si>
    <t>Art. 159-6: Caso fortuito o fuerza mayor</t>
  </si>
  <si>
    <t>Años</t>
  </si>
  <si>
    <t>Meses</t>
  </si>
  <si>
    <t>Días</t>
  </si>
  <si>
    <t>I. CÁLCULO AÑOS DE SERVICIO</t>
  </si>
  <si>
    <t>Valor:</t>
  </si>
  <si>
    <t>IV. INDEMNIZACIONES POR PAGAR</t>
  </si>
  <si>
    <t>Sueldo Fijo</t>
  </si>
  <si>
    <t>Sueldo Variable</t>
  </si>
  <si>
    <t>(opcional) Ingrese datos, sin puntos</t>
  </si>
  <si>
    <t>Tipo de sueldo:</t>
  </si>
  <si>
    <t>Total Haberes:</t>
  </si>
  <si>
    <t>Valor UF:</t>
  </si>
  <si>
    <t>Valor sueldo mínimo: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</si>
  <si>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</si>
  <si>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</si>
  <si>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</si>
  <si>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</si>
  <si>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</si>
  <si>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</si>
  <si>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</si>
  <si>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Fecha </t>
  </si>
  <si>
    <t>Feriado</t>
  </si>
  <si>
    <t>Año Nuevo</t>
  </si>
  <si>
    <t>Carnaval</t>
  </si>
  <si>
    <t>Viernes Santo</t>
  </si>
  <si>
    <t>Pascua</t>
  </si>
  <si>
    <t>Día del Trabajo</t>
  </si>
  <si>
    <t>Glorias Navales</t>
  </si>
  <si>
    <t>Aniv. de Asalto y Toma del Morro de Arica</t>
  </si>
  <si>
    <t>San Pedro y San Pablo (Trasladado)</t>
  </si>
  <si>
    <t>San Pedro y San Pablo</t>
  </si>
  <si>
    <t>Virgen del Carmen</t>
  </si>
  <si>
    <t>Asunción de la Virgen</t>
  </si>
  <si>
    <t>Fiestas Patrias</t>
  </si>
  <si>
    <t>Glorias del Ejército</t>
  </si>
  <si>
    <t>Día de las Iglesias Evangélicas y Protestantes</t>
  </si>
  <si>
    <t>Día de las Iglesias Evangélicas y Protestantes (Trasl.)</t>
  </si>
  <si>
    <t>Día de Todos los Santos</t>
  </si>
  <si>
    <t>Día de la Inmaculada Concepción</t>
  </si>
  <si>
    <t>Navidad</t>
  </si>
  <si>
    <t>Fines de Semana</t>
  </si>
  <si>
    <t>Festivos</t>
  </si>
  <si>
    <t>(*) Campos obligatorios.</t>
  </si>
  <si>
    <t>Seleccione (*)</t>
  </si>
  <si>
    <t>Ingrese fecha (*)</t>
  </si>
  <si>
    <t>Ingrese datos, sin puntos (*)</t>
  </si>
  <si>
    <t>Ingrese cantidad de días (*)</t>
  </si>
  <si>
    <t xml:space="preserve">Ingrese datos, sin puntos </t>
  </si>
  <si>
    <t>Ingrese el valor UF del día del SII (*)</t>
  </si>
  <si>
    <t>Fijo</t>
  </si>
  <si>
    <t>Sí</t>
  </si>
  <si>
    <t>Fechas</t>
  </si>
  <si>
    <t>Festividad</t>
  </si>
  <si>
    <t>Tipo</t>
  </si>
  <si>
    <t>Respaldo Legal</t>
  </si>
  <si>
    <t>Civil</t>
  </si>
  <si>
    <t>Ley 2.977,
			Ley 19.973</t>
  </si>
  <si>
    <t>Religioso</t>
  </si>
  <si>
    <t>Ley 2.977</t>
  </si>
  <si>
    <t>Sábado Santo</t>
  </si>
  <si>
    <t>Código del Trabajo,
			Ley 19.973</t>
  </si>
  <si>
    <t>Día de las Glorias Navales</t>
  </si>
  <si>
    <t>Día Nacional de los Pueblos Indígenas</t>
  </si>
  <si>
    <t>Ley 21.357</t>
  </si>
  <si>
    <t>Ley 2.977,
			Ley 18.432,
			Ley 19.668</t>
  </si>
  <si>
    <t>Ley 18.700, Ley 19.973, Ley 20.640</t>
  </si>
  <si>
    <t>Día de la Virgen del Carmen</t>
  </si>
  <si>
    <t>Ley 20.148</t>
  </si>
  <si>
    <t>Ley 2.977,
			Ley 20.629</t>
  </si>
  <si>
    <t>Encuentro de Dos Mundos</t>
  </si>
  <si>
    <t>Ley 3.810,
			Ley 19.668</t>
  </si>
  <si>
    <t>Ley 20.299</t>
  </si>
  <si>
    <t>Ley 18.700, Ley 19.973, Ley 20.515, Ley 21.073</t>
  </si>
  <si>
    <t>Inmaculada Concepción</t>
  </si>
  <si>
    <t>Ley 18.700, Ley 19.973, Ley 20.515</t>
  </si>
  <si>
    <t>Elecciones Primarias Presidenciales y Parlamentarias</t>
  </si>
  <si>
    <t>Independencia Nacional</t>
  </si>
  <si>
    <t>Día de las Glorias del Ejército</t>
  </si>
  <si>
    <t>Elecciones Presidenciales y Parlamentarias</t>
  </si>
  <si>
    <t>Elecciones Presidenciales (Segunda Vuelta)</t>
  </si>
  <si>
    <t>Día Nacional del Trabajo</t>
  </si>
  <si>
    <t>Causal de termino de contrato :</t>
  </si>
  <si>
    <t>Fecha de Inicio de contrato :</t>
  </si>
  <si>
    <t>Fecha fin de contrato :</t>
  </si>
  <si>
    <t>Fecha de aviso de despido :</t>
  </si>
  <si>
    <t>Total días trabajados :</t>
  </si>
  <si>
    <t>Período de Servicio :</t>
  </si>
  <si>
    <t>Año(s) de Servicio :</t>
  </si>
  <si>
    <t>¿Es zona extrema? :</t>
  </si>
  <si>
    <t>Días obtenidos :</t>
  </si>
  <si>
    <t>Días tomados :</t>
  </si>
  <si>
    <t>Días Pendientes :</t>
  </si>
  <si>
    <t>Días Inhábiles :</t>
  </si>
  <si>
    <t>Total días feriado legal pendiente :</t>
  </si>
  <si>
    <t>Remuneración pendiente :</t>
  </si>
  <si>
    <t>Indem. aviso previo :</t>
  </si>
  <si>
    <t>Indem. años de servicio :</t>
  </si>
  <si>
    <t>Indem. por vacaciones proporcionales :</t>
  </si>
  <si>
    <t>Indem. por tiempo servido :</t>
  </si>
  <si>
    <t>TOTAL A PAGAR FINIQUITO :</t>
  </si>
  <si>
    <t>Sueldo Base :</t>
  </si>
  <si>
    <t>Gratificación mensual :</t>
  </si>
  <si>
    <t>Asignación Colación :</t>
  </si>
  <si>
    <t>Asignación Movilización :</t>
  </si>
  <si>
    <t>Promedio comisiones más semana corrida :</t>
  </si>
  <si>
    <t>Comisiones más semana corrdia (mes 3) :</t>
  </si>
  <si>
    <t>Comisiones más semana corrrida (mes 2) :</t>
  </si>
  <si>
    <t>Comisiones más semana corrida (mes 1) :</t>
  </si>
  <si>
    <t>(opcional)</t>
  </si>
  <si>
    <t>Ingrese el valor de sueldo mínimo actualizado (*)</t>
  </si>
  <si>
    <t>Total Haberes (sueldo variable) :</t>
  </si>
  <si>
    <t>Total Haberes (sueldo fijo) :</t>
  </si>
  <si>
    <t>II. FERIADO LEGAL (VACACIONES)</t>
  </si>
  <si>
    <t>III. ANTECEDENTES REMUNERACIÓN</t>
  </si>
  <si>
    <t>No</t>
  </si>
  <si>
    <r>
      <t>Copyright © 2025 </t>
    </r>
    <r>
      <rPr>
        <b/>
        <sz val="11"/>
        <color rgb="FF002060"/>
        <rFont val="Open Sans"/>
        <family val="2"/>
      </rPr>
      <t>Ngulam.cl | Villarrica, Chile </t>
    </r>
    <r>
      <rPr>
        <sz val="11"/>
        <color rgb="FF002060"/>
        <rFont val="Open Sans"/>
        <family val="2"/>
      </rPr>
      <t>. All Rights Reserved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</si>
</sst>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164" formatCode="_ &quot;$&quot;* #,##0.00_ ;_ &quot;$&quot;* \-#,##0.00_ ;_ &quot;$&quot;* &quot;-&quot;_ ;_ @_ "/>
    <numFmt numFmtId="165" formatCode="0.0000000"/>
    <numFmt numFmtId="166" formatCode="0.00000000"/>
    <numFmt numFmtId="167" formatCode="dd/mm/yyyy;@"/>
    <numFmt numFmtId="168" formatCode="_ * #,##0.00_ ;_ * \-#,##0.00_ ;_ * &quot;-&quot;_ ;_ @_ 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4" tint="-0.249977111117893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color theme="2" tint="-0.499984740745262"/>
      <name val="Arial Narrow"/>
      <family val="2"/>
    </font>
    <font>
      <b/>
      <sz val="12"/>
      <color theme="1"/>
      <name val="Arial Narrow"/>
      <family val="2"/>
    </font>
    <font>
      <sz val="9"/>
      <color theme="2" tint="-0.499984740745262"/>
      <name val="Arial Narrow"/>
      <family val="2"/>
    </font>
    <font>
      <sz val="12"/>
      <color theme="1" tint="0.249977111117893"/>
      <name val="Arial Narrow"/>
      <family val="2"/>
    </font>
    <font>
      <sz val="11"/>
      <color theme="1" tint="0.249977111117893"/>
      <name val="Arial Narrow"/>
      <family val="2"/>
    </font>
    <font>
      <sz val="11"/>
      <color theme="4" tint="0.79998168889431442"/>
      <name val="Arial Narrow"/>
      <family val="2"/>
    </font>
    <font>
      <sz val="11"/>
      <color rgb="FF00B0F0"/>
      <name val="Arial Narrow"/>
      <family val="2"/>
    </font>
    <font>
      <b/>
      <sz val="12"/>
      <color theme="1" tint="0.249977111117893"/>
      <name val="Arial Narrow"/>
      <family val="2"/>
    </font>
    <font>
      <sz val="11"/>
      <color theme="2" tint="-0.249977111117893"/>
      <name val="Arial Narrow"/>
      <family val="2"/>
    </font>
    <font>
      <b/>
      <i/>
      <u/>
      <sz val="12"/>
      <color theme="1" tint="0.249977111117893"/>
      <name val="Arial Narrow"/>
      <family val="2"/>
    </font>
    <font>
      <sz val="11"/>
      <name val="Arial Narrow"/>
      <family val="2"/>
    </font>
    <font>
      <sz val="9"/>
      <color theme="0" tint="-0.34998626667073579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sz val="11"/>
      <color rgb="FF002060"/>
      <name val="Open Sans"/>
      <family val="2"/>
    </font>
    <font>
      <b/>
      <sz val="11"/>
      <color rgb="FF00206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theme="0" tint="-0.24994659260841701"/>
      </top>
      <bottom/>
      <diagonal/>
    </border>
    <border>
      <left style="hair">
        <color auto="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auto="1"/>
      </bottom>
      <diagonal/>
    </border>
  </borders>
  <cellStyleXfs count="4">
    <xf numFmtId="0" fontId="0" fillId="0" borderId="0"/>
    <xf numFmtId="42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14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0" xfId="0" applyFont="1"/>
    <xf numFmtId="167" fontId="9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0" fillId="0" borderId="0" xfId="0" applyFont="1"/>
    <xf numFmtId="0" fontId="16" fillId="3" borderId="1" xfId="0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42" fontId="16" fillId="0" borderId="1" xfId="1" applyFont="1" applyBorder="1" applyAlignment="1" applyProtection="1">
      <alignment vertical="center"/>
      <protection locked="0"/>
    </xf>
    <xf numFmtId="42" fontId="16" fillId="0" borderId="1" xfId="1" applyFont="1" applyFill="1" applyBorder="1" applyProtection="1">
      <protection locked="0"/>
    </xf>
    <xf numFmtId="165" fontId="10" fillId="0" borderId="0" xfId="0" applyNumberFormat="1" applyFont="1"/>
    <xf numFmtId="164" fontId="16" fillId="0" borderId="1" xfId="1" applyNumberFormat="1" applyFont="1" applyBorder="1" applyAlignment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42" fontId="16" fillId="0" borderId="1" xfId="1" applyFont="1" applyFill="1" applyBorder="1" applyAlignment="1" applyProtection="1">
      <alignment vertical="center"/>
      <protection locked="0"/>
    </xf>
    <xf numFmtId="42" fontId="16" fillId="3" borderId="1" xfId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6" fillId="5" borderId="0" xfId="0" applyFont="1" applyFill="1" applyProtection="1">
      <protection hidden="1"/>
    </xf>
    <xf numFmtId="0" fontId="6" fillId="5" borderId="0" xfId="0" applyFont="1" applyFill="1" applyAlignment="1" applyProtection="1">
      <alignment horizontal="centerContinuous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10" fillId="0" borderId="0" xfId="0" applyFont="1" applyProtection="1">
      <protection hidden="1"/>
    </xf>
    <xf numFmtId="0" fontId="12" fillId="4" borderId="11" xfId="0" applyFont="1" applyFill="1" applyBorder="1" applyProtection="1">
      <protection hidden="1"/>
    </xf>
    <xf numFmtId="0" fontId="10" fillId="4" borderId="0" xfId="0" applyFont="1" applyFill="1" applyProtection="1">
      <protection hidden="1"/>
    </xf>
    <xf numFmtId="0" fontId="10" fillId="4" borderId="12" xfId="0" applyFont="1" applyFill="1" applyBorder="1" applyProtection="1">
      <protection hidden="1"/>
    </xf>
    <xf numFmtId="0" fontId="13" fillId="4" borderId="11" xfId="0" applyFont="1" applyFill="1" applyBorder="1" applyProtection="1">
      <protection hidden="1"/>
    </xf>
    <xf numFmtId="0" fontId="10" fillId="4" borderId="11" xfId="0" applyFont="1" applyFill="1" applyBorder="1" applyProtection="1">
      <protection hidden="1"/>
    </xf>
    <xf numFmtId="0" fontId="14" fillId="4" borderId="0" xfId="0" applyFont="1" applyFill="1" applyProtection="1">
      <protection hidden="1"/>
    </xf>
    <xf numFmtId="0" fontId="15" fillId="4" borderId="11" xfId="0" applyFont="1" applyFill="1" applyBorder="1" applyAlignment="1" applyProtection="1">
      <alignment horizontal="right" vertical="center" indent="1"/>
      <protection hidden="1"/>
    </xf>
    <xf numFmtId="0" fontId="17" fillId="4" borderId="12" xfId="0" applyFont="1" applyFill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vertical="center"/>
      <protection hidden="1"/>
    </xf>
    <xf numFmtId="0" fontId="15" fillId="0" borderId="4" xfId="0" applyFont="1" applyBorder="1" applyAlignment="1" applyProtection="1">
      <alignment vertical="center"/>
      <protection hidden="1"/>
    </xf>
    <xf numFmtId="0" fontId="14" fillId="4" borderId="0" xfId="0" applyFont="1" applyFill="1" applyAlignment="1" applyProtection="1">
      <alignment vertical="center"/>
      <protection hidden="1"/>
    </xf>
    <xf numFmtId="0" fontId="10" fillId="4" borderId="11" xfId="0" applyFont="1" applyFill="1" applyBorder="1" applyAlignment="1" applyProtection="1">
      <alignment horizontal="right" indent="1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10" fillId="4" borderId="12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alignment horizontal="center"/>
      <protection hidden="1"/>
    </xf>
    <xf numFmtId="2" fontId="9" fillId="6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166" fontId="10" fillId="0" borderId="0" xfId="0" applyNumberFormat="1" applyFont="1" applyProtection="1">
      <protection hidden="1"/>
    </xf>
    <xf numFmtId="14" fontId="10" fillId="4" borderId="0" xfId="0" applyNumberFormat="1" applyFont="1" applyFill="1" applyProtection="1"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1" fontId="9" fillId="6" borderId="1" xfId="0" applyNumberFormat="1" applyFont="1" applyFill="1" applyBorder="1" applyAlignment="1" applyProtection="1">
      <alignment horizontal="center" vertical="center"/>
      <protection hidden="1"/>
    </xf>
    <xf numFmtId="167" fontId="17" fillId="4" borderId="0" xfId="3" applyNumberFormat="1" applyFont="1" applyFill="1" applyBorder="1" applyProtection="1">
      <protection hidden="1"/>
    </xf>
    <xf numFmtId="168" fontId="17" fillId="4" borderId="12" xfId="3" applyNumberFormat="1" applyFont="1" applyFill="1" applyBorder="1" applyProtection="1"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19" fillId="4" borderId="11" xfId="0" applyFont="1" applyFill="1" applyBorder="1" applyAlignment="1" applyProtection="1">
      <alignment horizontal="right" vertical="center" indent="1"/>
      <protection hidden="1"/>
    </xf>
    <xf numFmtId="0" fontId="11" fillId="6" borderId="1" xfId="0" applyFont="1" applyFill="1" applyBorder="1" applyAlignment="1" applyProtection="1">
      <alignment horizontal="center" vertical="center"/>
      <protection hidden="1"/>
    </xf>
    <xf numFmtId="2" fontId="11" fillId="6" borderId="1" xfId="0" applyNumberFormat="1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Protection="1">
      <protection hidden="1"/>
    </xf>
    <xf numFmtId="0" fontId="10" fillId="4" borderId="14" xfId="0" applyFont="1" applyFill="1" applyBorder="1" applyProtection="1">
      <protection hidden="1"/>
    </xf>
    <xf numFmtId="0" fontId="10" fillId="4" borderId="15" xfId="0" applyFont="1" applyFill="1" applyBorder="1" applyProtection="1">
      <protection hidden="1"/>
    </xf>
    <xf numFmtId="0" fontId="10" fillId="0" borderId="14" xfId="0" applyFont="1" applyBorder="1" applyProtection="1">
      <protection hidden="1"/>
    </xf>
    <xf numFmtId="0" fontId="10" fillId="4" borderId="11" xfId="0" applyFont="1" applyFill="1" applyBorder="1" applyAlignment="1" applyProtection="1">
      <alignment horizontal="right"/>
      <protection hidden="1"/>
    </xf>
    <xf numFmtId="0" fontId="15" fillId="4" borderId="11" xfId="0" applyFont="1" applyFill="1" applyBorder="1" applyAlignment="1" applyProtection="1">
      <alignment vertical="center"/>
      <protection hidden="1"/>
    </xf>
    <xf numFmtId="0" fontId="14" fillId="4" borderId="0" xfId="0" applyFont="1" applyFill="1" applyAlignment="1" applyProtection="1">
      <alignment horizontal="left" indent="1"/>
      <protection hidden="1"/>
    </xf>
    <xf numFmtId="0" fontId="10" fillId="4" borderId="12" xfId="0" applyFont="1" applyFill="1" applyBorder="1" applyAlignment="1" applyProtection="1">
      <alignment horizontal="center"/>
      <protection hidden="1"/>
    </xf>
    <xf numFmtId="0" fontId="10" fillId="4" borderId="11" xfId="0" applyFont="1" applyFill="1" applyBorder="1" applyAlignment="1" applyProtection="1">
      <alignment horizontal="right" vertical="center" wrapText="1" indent="1"/>
      <protection hidden="1"/>
    </xf>
    <xf numFmtId="42" fontId="9" fillId="6" borderId="1" xfId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protection hidden="1"/>
    </xf>
    <xf numFmtId="0" fontId="20" fillId="4" borderId="0" xfId="0" applyFont="1" applyFill="1" applyProtection="1">
      <protection hidden="1"/>
    </xf>
    <xf numFmtId="0" fontId="19" fillId="4" borderId="11" xfId="0" applyFont="1" applyFill="1" applyBorder="1" applyAlignment="1" applyProtection="1">
      <alignment vertical="center"/>
      <protection hidden="1"/>
    </xf>
    <xf numFmtId="42" fontId="11" fillId="6" borderId="1" xfId="1" applyFont="1" applyFill="1" applyBorder="1" applyAlignment="1" applyProtection="1">
      <alignment horizontal="center" vertical="center"/>
      <protection hidden="1"/>
    </xf>
    <xf numFmtId="42" fontId="10" fillId="4" borderId="0" xfId="0" applyNumberFormat="1" applyFont="1" applyFill="1" applyProtection="1">
      <protection hidden="1"/>
    </xf>
    <xf numFmtId="0" fontId="15" fillId="4" borderId="11" xfId="0" applyFont="1" applyFill="1" applyBorder="1" applyAlignment="1" applyProtection="1">
      <alignment horizontal="right" vertical="center" wrapText="1" indent="1"/>
      <protection hidden="1"/>
    </xf>
    <xf numFmtId="0" fontId="20" fillId="4" borderId="0" xfId="0" applyFont="1" applyFill="1" applyAlignment="1" applyProtection="1">
      <alignment vertical="center"/>
      <protection hidden="1"/>
    </xf>
    <xf numFmtId="44" fontId="10" fillId="0" borderId="0" xfId="0" applyNumberFormat="1" applyFont="1" applyProtection="1">
      <protection hidden="1"/>
    </xf>
    <xf numFmtId="0" fontId="21" fillId="4" borderId="16" xfId="0" applyFont="1" applyFill="1" applyBorder="1" applyAlignment="1" applyProtection="1">
      <alignment vertical="center"/>
      <protection hidden="1"/>
    </xf>
    <xf numFmtId="0" fontId="22" fillId="4" borderId="5" xfId="0" applyFont="1" applyFill="1" applyBorder="1" applyProtection="1">
      <protection hidden="1"/>
    </xf>
    <xf numFmtId="0" fontId="22" fillId="4" borderId="6" xfId="0" applyFont="1" applyFill="1" applyBorder="1" applyProtection="1">
      <protection hidden="1"/>
    </xf>
    <xf numFmtId="0" fontId="22" fillId="4" borderId="12" xfId="0" applyFont="1" applyFill="1" applyBorder="1" applyProtection="1">
      <protection hidden="1"/>
    </xf>
    <xf numFmtId="0" fontId="22" fillId="4" borderId="0" xfId="0" applyFont="1" applyFill="1" applyProtection="1">
      <protection hidden="1"/>
    </xf>
    <xf numFmtId="0" fontId="22" fillId="4" borderId="7" xfId="0" applyFont="1" applyFill="1" applyBorder="1" applyProtection="1">
      <protection hidden="1"/>
    </xf>
    <xf numFmtId="1" fontId="10" fillId="2" borderId="0" xfId="0" applyNumberFormat="1" applyFont="1" applyFill="1" applyProtection="1">
      <protection hidden="1"/>
    </xf>
    <xf numFmtId="0" fontId="15" fillId="4" borderId="0" xfId="0" applyFont="1" applyFill="1" applyAlignment="1" applyProtection="1">
      <alignment horizontal="right" vertical="center" wrapText="1"/>
      <protection hidden="1"/>
    </xf>
    <xf numFmtId="0" fontId="23" fillId="4" borderId="0" xfId="0" applyFont="1" applyFill="1" applyProtection="1">
      <protection hidden="1"/>
    </xf>
    <xf numFmtId="0" fontId="10" fillId="4" borderId="13" xfId="0" applyFont="1" applyFill="1" applyBorder="1" applyAlignment="1" applyProtection="1">
      <alignment horizontal="right" indent="1"/>
      <protection hidden="1"/>
    </xf>
    <xf numFmtId="0" fontId="24" fillId="4" borderId="11" xfId="0" applyFont="1" applyFill="1" applyBorder="1" applyAlignment="1" applyProtection="1">
      <alignment horizontal="right" indent="1"/>
      <protection hidden="1"/>
    </xf>
    <xf numFmtId="42" fontId="25" fillId="6" borderId="0" xfId="0" applyNumberFormat="1" applyFont="1" applyFill="1" applyProtection="1">
      <protection hidden="1"/>
    </xf>
    <xf numFmtId="0" fontId="24" fillId="4" borderId="0" xfId="0" applyFont="1" applyFill="1" applyProtection="1">
      <protection hidden="1"/>
    </xf>
    <xf numFmtId="44" fontId="22" fillId="4" borderId="0" xfId="0" applyNumberFormat="1" applyFont="1" applyFill="1" applyProtection="1">
      <protection hidden="1"/>
    </xf>
    <xf numFmtId="0" fontId="10" fillId="4" borderId="17" xfId="0" applyFont="1" applyFill="1" applyBorder="1" applyProtection="1">
      <protection hidden="1"/>
    </xf>
    <xf numFmtId="0" fontId="27" fillId="0" borderId="0" xfId="0" applyFont="1" applyProtection="1">
      <protection hidden="1"/>
    </xf>
    <xf numFmtId="42" fontId="10" fillId="0" borderId="0" xfId="0" applyNumberFormat="1" applyFont="1" applyProtection="1">
      <protection hidden="1"/>
    </xf>
    <xf numFmtId="0" fontId="19" fillId="4" borderId="11" xfId="0" applyFont="1" applyFill="1" applyBorder="1" applyAlignment="1" applyProtection="1">
      <alignment horizontal="right" vertical="center" wrapText="1" indent="1"/>
      <protection hidden="1"/>
    </xf>
    <xf numFmtId="42" fontId="25" fillId="6" borderId="1" xfId="1" applyFont="1" applyFill="1" applyBorder="1" applyAlignment="1" applyProtection="1">
      <alignment horizontal="center" vertical="center"/>
      <protection hidden="1"/>
    </xf>
    <xf numFmtId="42" fontId="25" fillId="6" borderId="0" xfId="1" applyFont="1" applyFill="1" applyBorder="1" applyProtection="1">
      <protection hidden="1"/>
    </xf>
    <xf numFmtId="0" fontId="22" fillId="4" borderId="13" xfId="0" applyFont="1" applyFill="1" applyBorder="1" applyProtection="1">
      <protection hidden="1"/>
    </xf>
    <xf numFmtId="0" fontId="22" fillId="4" borderId="14" xfId="0" applyFont="1" applyFill="1" applyBorder="1" applyProtection="1">
      <protection hidden="1"/>
    </xf>
    <xf numFmtId="0" fontId="22" fillId="4" borderId="18" xfId="0" applyFont="1" applyFill="1" applyBorder="1" applyProtection="1">
      <protection hidden="1"/>
    </xf>
    <xf numFmtId="0" fontId="22" fillId="4" borderId="15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11" fillId="5" borderId="9" xfId="0" applyFont="1" applyFill="1" applyBorder="1" applyAlignment="1" applyProtection="1">
      <alignment horizontal="center" vertical="center"/>
      <protection hidden="1"/>
    </xf>
    <xf numFmtId="0" fontId="11" fillId="5" borderId="1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/>
    </xf>
  </cellXfs>
  <cellStyles count="4">
    <cellStyle name="Millares [0]" xfId="3" builtinId="6"/>
    <cellStyle name="Moneda [0]" xfId="1" builtinId="7"/>
    <cellStyle name="Normal" xfId="0" builtinId="0"/>
    <cellStyle name="Normal 2" xfId="2" xr:uid="{0B942B6E-C66B-4CDB-80D1-6D397FA8B08E}"/>
  </cellStyles>
  <dxfs count="6"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67" formatCode="dd/mm/yy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0</xdr:row>
      <xdr:rowOff>10583</xdr:rowOff>
    </xdr:from>
    <xdr:to>
      <xdr:col>19</xdr:col>
      <xdr:colOff>0</xdr:colOff>
      <xdr:row>1</xdr:row>
      <xdr:rowOff>349250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2EA8B3-83B2-1FAD-2404-1194656A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1917" y="10583"/>
          <a:ext cx="1725083" cy="529167"/>
        </a:xfrm>
        <a:prstGeom prst="rect">
          <a:avLst/>
        </a:prstGeom>
      </xdr:spPr>
    </xdr:pic>
    <xdr:clientData/>
  </xdr:twoCellAnchor>
  <xdr:twoCellAnchor editAs="oneCell">
    <xdr:from>
      <xdr:col>9</xdr:col>
      <xdr:colOff>1587500</xdr:colOff>
      <xdr:row>39</xdr:row>
      <xdr:rowOff>21166</xdr:rowOff>
    </xdr:from>
    <xdr:to>
      <xdr:col>16</xdr:col>
      <xdr:colOff>182809</xdr:colOff>
      <xdr:row>43</xdr:row>
      <xdr:rowOff>197785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854B708-9121-FE25-31E0-678421C7B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2333" y="7440083"/>
          <a:ext cx="2257143" cy="9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1799168</xdr:colOff>
      <xdr:row>43</xdr:row>
      <xdr:rowOff>137583</xdr:rowOff>
    </xdr:from>
    <xdr:to>
      <xdr:col>10</xdr:col>
      <xdr:colOff>937465</xdr:colOff>
      <xdr:row>48</xdr:row>
      <xdr:rowOff>82440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63451C-55F7-A7F4-E236-141EE1EB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1" y="8360833"/>
          <a:ext cx="1752381" cy="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25400</xdr:rowOff>
    </xdr:from>
    <xdr:to>
      <xdr:col>1</xdr:col>
      <xdr:colOff>1507066</xdr:colOff>
      <xdr:row>2</xdr:row>
      <xdr:rowOff>4234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7242FA-D6C0-4D6B-AD57-51A54ED3D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725083" cy="529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%20ideapad\Desktop\Instrucci&#243;n%20EXCEL\Plantillas%20del%20Sitio\Plantillas\planilla-de-excel-de-calendario-de-vacaciones-de-emple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 AYUDA -"/>
      <sheetName val="Días tomados"/>
      <sheetName val="Feriados y días laborables"/>
      <sheetName val="Auxiliar"/>
    </sheetNames>
    <sheetDataSet>
      <sheetData sheetId="0"/>
      <sheetData sheetId="1"/>
      <sheetData sheetId="2"/>
      <sheetData sheetId="3">
        <row r="1">
          <cell r="A1" t="str">
            <v>Enero</v>
          </cell>
          <cell r="B1">
            <v>1</v>
          </cell>
          <cell r="F1">
            <v>2019</v>
          </cell>
        </row>
        <row r="2">
          <cell r="A2" t="str">
            <v>Febrero</v>
          </cell>
          <cell r="B2">
            <v>2</v>
          </cell>
          <cell r="F2">
            <v>2020</v>
          </cell>
        </row>
        <row r="3">
          <cell r="A3" t="str">
            <v>Marzo</v>
          </cell>
          <cell r="B3">
            <v>3</v>
          </cell>
          <cell r="F3">
            <v>2021</v>
          </cell>
        </row>
        <row r="4">
          <cell r="A4" t="str">
            <v>Abril</v>
          </cell>
          <cell r="B4">
            <v>4</v>
          </cell>
          <cell r="F4">
            <v>2022</v>
          </cell>
        </row>
        <row r="5">
          <cell r="A5" t="str">
            <v>Mayo</v>
          </cell>
          <cell r="B5">
            <v>5</v>
          </cell>
          <cell r="F5">
            <v>2023</v>
          </cell>
        </row>
        <row r="6">
          <cell r="A6" t="str">
            <v>Junio</v>
          </cell>
          <cell r="B6">
            <v>6</v>
          </cell>
          <cell r="F6">
            <v>2024</v>
          </cell>
        </row>
        <row r="7">
          <cell r="A7" t="str">
            <v>Julio</v>
          </cell>
          <cell r="B7">
            <v>7</v>
          </cell>
          <cell r="F7">
            <v>2025</v>
          </cell>
        </row>
        <row r="8">
          <cell r="A8" t="str">
            <v>Agosto</v>
          </cell>
          <cell r="B8">
            <v>8</v>
          </cell>
          <cell r="F8">
            <v>2026</v>
          </cell>
        </row>
        <row r="9">
          <cell r="A9" t="str">
            <v>Septiembre</v>
          </cell>
          <cell r="B9">
            <v>9</v>
          </cell>
          <cell r="F9">
            <v>2027</v>
          </cell>
        </row>
        <row r="10">
          <cell r="A10" t="str">
            <v>Octubre</v>
          </cell>
          <cell r="B10">
            <v>10</v>
          </cell>
          <cell r="F10">
            <v>2028</v>
          </cell>
        </row>
        <row r="11">
          <cell r="A11" t="str">
            <v>Noviembre</v>
          </cell>
          <cell r="B11">
            <v>11</v>
          </cell>
          <cell r="F11">
            <v>2029</v>
          </cell>
        </row>
        <row r="12">
          <cell r="A12" t="str">
            <v>Diciembre</v>
          </cell>
          <cell r="B12">
            <v>12</v>
          </cell>
          <cell r="F12">
            <v>2030</v>
          </cell>
        </row>
        <row r="13">
          <cell r="F13">
            <v>2031</v>
          </cell>
        </row>
        <row r="14">
          <cell r="F14">
            <v>2032</v>
          </cell>
        </row>
        <row r="15">
          <cell r="F15">
            <v>2033</v>
          </cell>
        </row>
        <row r="16">
          <cell r="F16">
            <v>2034</v>
          </cell>
        </row>
        <row r="17">
          <cell r="F17">
            <v>2035</v>
          </cell>
        </row>
        <row r="18">
          <cell r="F18">
            <v>2036</v>
          </cell>
        </row>
        <row r="19">
          <cell r="F19">
            <v>2037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2843B735-8476-47DC-B571-F8E6FF4CCE23}" autoFormatId="16" applyNumberFormats="0" applyBorderFormats="0" applyFontFormats="0" applyPatternFormats="0" applyAlignmentFormats="0" applyWidthHeightFormats="0">
  <queryTableRefresh nextId="6" unboundColumnsLeft="1">
    <queryTableFields count="4">
      <queryTableField id="5" dataBound="0" tableColumnId="5"/>
      <queryTableField id="2" name="Column2" tableColumnId="2"/>
      <queryTableField id="3" name="Column3" tableColumnId="3"/>
      <queryTableField id="4" name="Column4" tableColumnId="4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4A397F-24F2-4B73-8876-2631F377E6A1}" name="Tabla_1" displayName="Tabla_1" ref="A1:D20" tableType="queryTable" totalsRowShown="0" headerRowDxfId="5" dataDxfId="4">
  <autoFilter ref="A1:D20" xr:uid="{194A397F-24F2-4B73-8876-2631F377E6A1}"/>
  <tableColumns count="4">
    <tableColumn id="5" xr3:uid="{86E97617-1E01-4A88-9756-6767BBC06392}" uniqueName="5" name="Fechas" queryTableFieldId="5" dataDxfId="3"/>
    <tableColumn id="2" xr3:uid="{67A23902-7DF2-4910-B7A9-AE7072BF7AEC}" uniqueName="2" name="Festividad" queryTableFieldId="2" dataDxfId="2"/>
    <tableColumn id="3" xr3:uid="{7AB6D94D-232E-434E-9359-247705408F89}" uniqueName="3" name="Tipo" queryTableFieldId="3" dataDxfId="1"/>
    <tableColumn id="4" xr3:uid="{9DAD6EE2-3766-41A5-A918-5837655F8FC6}" uniqueName="4" name="Respaldo Legal" queryTableFieldId="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139C-C2DE-4018-B75A-6DBC25C57C6C}">
  <sheetPr codeName="Hoja1">
    <pageSetUpPr fitToPage="1"/>
  </sheetPr>
  <dimension ref="A1:Y56"/>
  <sheetViews>
    <sheetView showGridLines="0" showRowColHeaders="0" tabSelected="1" zoomScale="90" zoomScaleNormal="90" workbookViewId="0">
      <pane ySplit="2" topLeftCell="A3" activePane="bottomLeft" state="frozen"/>
      <selection pane="bottomLeft" activeCell="R48" sqref="R48"/>
    </sheetView>
  </sheetViews>
  <sheetFormatPr baseColWidth="10" defaultColWidth="0" defaultRowHeight="15" zeroHeight="1" x14ac:dyDescent="0.25"/>
  <cols>
    <col min="1" max="1" width="3.7109375" customWidth="1"/>
    <col min="2" max="2" width="40.7109375" customWidth="1"/>
    <col min="3" max="3" width="15.7109375" customWidth="1"/>
    <col min="4" max="4" width="14.140625" customWidth="1"/>
    <col min="5" max="5" width="13.5703125" bestFit="1" customWidth="1"/>
    <col min="6" max="6" width="15.7109375" customWidth="1"/>
    <col min="7" max="7" width="6" hidden="1" customWidth="1"/>
    <col min="8" max="8" width="2.7109375" customWidth="1"/>
    <col min="9" max="9" width="3.85546875" customWidth="1"/>
    <col min="10" max="10" width="39.140625" customWidth="1"/>
    <col min="11" max="11" width="15.7109375" customWidth="1"/>
    <col min="12" max="16" width="10.7109375" hidden="1" customWidth="1"/>
    <col min="17" max="17" width="12.28515625" customWidth="1"/>
    <col min="18" max="18" width="11.42578125" customWidth="1"/>
    <col min="19" max="19" width="3.7109375" customWidth="1"/>
    <col min="20" max="20" width="11.42578125" hidden="1" customWidth="1"/>
    <col min="21" max="21" width="12" hidden="1" customWidth="1"/>
    <col min="22" max="22" width="11.42578125" hidden="1" customWidth="1"/>
    <col min="23" max="25" width="0" hidden="1" customWidth="1"/>
    <col min="26" max="16384" width="11.42578125" hidden="1"/>
  </cols>
  <sheetData>
    <row r="1" spans="1:21" x14ac:dyDescent="0.25">
      <c r="A1" s="23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23"/>
    </row>
    <row r="2" spans="1:21" ht="28.5" customHeight="1" x14ac:dyDescent="0.25">
      <c r="A2" s="2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24"/>
      <c r="T2" s="4"/>
      <c r="U2" s="4"/>
    </row>
    <row r="3" spans="1:21" ht="8.1" customHeight="1" x14ac:dyDescent="0.25">
      <c r="A3" s="25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4"/>
      <c r="U3" s="4"/>
    </row>
    <row r="4" spans="1:21" s="11" customFormat="1" ht="16.5" x14ac:dyDescent="0.3">
      <c r="A4" s="28"/>
      <c r="B4" s="101" t="s">
        <v>19</v>
      </c>
      <c r="C4" s="102"/>
      <c r="D4" s="102"/>
      <c r="E4" s="102"/>
      <c r="F4" s="102"/>
      <c r="G4" s="102"/>
      <c r="H4" s="103"/>
      <c r="I4" s="28"/>
      <c r="J4" s="101" t="s">
        <v>128</v>
      </c>
      <c r="K4" s="102"/>
      <c r="L4" s="102"/>
      <c r="M4" s="102"/>
      <c r="N4" s="102"/>
      <c r="O4" s="102"/>
      <c r="P4" s="102"/>
      <c r="Q4" s="102"/>
      <c r="R4" s="103"/>
      <c r="S4" s="28"/>
    </row>
    <row r="5" spans="1:21" s="11" customFormat="1" ht="8.1" customHeight="1" x14ac:dyDescent="0.3">
      <c r="A5" s="28"/>
      <c r="B5" s="29"/>
      <c r="C5" s="30"/>
      <c r="D5" s="30"/>
      <c r="E5" s="30"/>
      <c r="F5" s="30"/>
      <c r="G5" s="30"/>
      <c r="H5" s="31"/>
      <c r="I5" s="28"/>
      <c r="J5" s="32"/>
      <c r="K5" s="30"/>
      <c r="L5" s="30"/>
      <c r="M5" s="30"/>
      <c r="N5" s="30"/>
      <c r="O5" s="30"/>
      <c r="P5" s="30"/>
      <c r="Q5" s="30"/>
      <c r="R5" s="31"/>
      <c r="S5" s="28"/>
    </row>
    <row r="6" spans="1:21" s="11" customFormat="1" ht="16.5" x14ac:dyDescent="0.3">
      <c r="A6" s="28"/>
      <c r="B6" s="33"/>
      <c r="C6" s="34" t="s">
        <v>59</v>
      </c>
      <c r="D6" s="30"/>
      <c r="E6" s="30"/>
      <c r="F6" s="30"/>
      <c r="G6" s="30"/>
      <c r="H6" s="31"/>
      <c r="I6" s="28"/>
      <c r="J6" s="33"/>
      <c r="K6" s="30"/>
      <c r="L6" s="30"/>
      <c r="M6" s="30"/>
      <c r="N6" s="30"/>
      <c r="O6" s="30"/>
      <c r="P6" s="30"/>
      <c r="Q6" s="30"/>
      <c r="R6" s="31"/>
      <c r="S6" s="28"/>
    </row>
    <row r="7" spans="1:21" s="11" customFormat="1" ht="16.5" x14ac:dyDescent="0.3">
      <c r="A7" s="28"/>
      <c r="B7" s="35" t="s">
        <v>97</v>
      </c>
      <c r="C7" s="105" t="s">
        <v>14</v>
      </c>
      <c r="D7" s="106"/>
      <c r="E7" s="106"/>
      <c r="F7" s="106"/>
      <c r="G7" s="107"/>
      <c r="H7" s="36"/>
      <c r="I7" s="28"/>
      <c r="J7" s="35" t="s">
        <v>104</v>
      </c>
      <c r="K7" s="12" t="s">
        <v>66</v>
      </c>
      <c r="L7" s="37"/>
      <c r="M7" s="37"/>
      <c r="N7" s="37"/>
      <c r="O7" s="37"/>
      <c r="P7" s="38"/>
      <c r="Q7" s="39" t="s">
        <v>59</v>
      </c>
      <c r="R7" s="31"/>
      <c r="S7" s="28"/>
    </row>
    <row r="8" spans="1:21" s="11" customFormat="1" ht="16.5" x14ac:dyDescent="0.3">
      <c r="A8" s="28"/>
      <c r="B8" s="40"/>
      <c r="C8" s="41"/>
      <c r="D8" s="41"/>
      <c r="E8" s="41"/>
      <c r="F8" s="41"/>
      <c r="G8" s="41"/>
      <c r="H8" s="42"/>
      <c r="I8" s="28"/>
      <c r="J8" s="40"/>
      <c r="K8" s="43"/>
      <c r="L8" s="28"/>
      <c r="M8" s="28"/>
      <c r="N8" s="28"/>
      <c r="O8" s="28"/>
      <c r="P8" s="28"/>
      <c r="Q8" s="30"/>
      <c r="R8" s="31"/>
      <c r="S8" s="28"/>
    </row>
    <row r="9" spans="1:21" s="11" customFormat="1" ht="16.5" x14ac:dyDescent="0.3">
      <c r="A9" s="28"/>
      <c r="B9" s="35" t="s">
        <v>98</v>
      </c>
      <c r="C9" s="13">
        <v>45748</v>
      </c>
      <c r="D9" s="34" t="s">
        <v>60</v>
      </c>
      <c r="E9" s="30"/>
      <c r="F9" s="30"/>
      <c r="G9" s="30"/>
      <c r="H9" s="31"/>
      <c r="I9" s="28"/>
      <c r="J9" s="35" t="s">
        <v>105</v>
      </c>
      <c r="K9" s="44">
        <f>IFERROR(IF(ROUND(L9+M9+N9,3)&lt;1,0,ROUND(L9+M9+N9,3)),"")</f>
        <v>3.75</v>
      </c>
      <c r="L9" s="45">
        <f>IFERROR((IF(K7="","",IF(K7="No",15*$C$18,20*$C$18))),"")</f>
        <v>0</v>
      </c>
      <c r="M9" s="45">
        <f>IFERROR((1.25*D18),"")</f>
        <v>2.5</v>
      </c>
      <c r="N9" s="45">
        <f>IFERROR((O9*E18),"")</f>
        <v>1.25</v>
      </c>
      <c r="O9" s="46">
        <f>1.25/30</f>
        <v>4.1666666666666664E-2</v>
      </c>
      <c r="P9" s="45"/>
      <c r="Q9" s="30"/>
      <c r="R9" s="31"/>
      <c r="S9" s="28"/>
    </row>
    <row r="10" spans="1:21" s="11" customFormat="1" ht="8.1" customHeight="1" x14ac:dyDescent="0.3">
      <c r="A10" s="28"/>
      <c r="B10" s="35"/>
      <c r="C10" s="34"/>
      <c r="D10" s="34"/>
      <c r="E10" s="30"/>
      <c r="F10" s="30"/>
      <c r="G10" s="30"/>
      <c r="H10" s="31"/>
      <c r="I10" s="28"/>
      <c r="J10" s="35"/>
      <c r="K10" s="30"/>
      <c r="L10" s="45"/>
      <c r="M10" s="45"/>
      <c r="N10" s="45"/>
      <c r="O10" s="45"/>
      <c r="P10" s="45"/>
      <c r="Q10" s="30"/>
      <c r="R10" s="31"/>
      <c r="S10" s="28"/>
    </row>
    <row r="11" spans="1:21" s="11" customFormat="1" ht="16.5" x14ac:dyDescent="0.3">
      <c r="A11" s="28"/>
      <c r="B11" s="35" t="s">
        <v>99</v>
      </c>
      <c r="C11" s="13">
        <v>45838</v>
      </c>
      <c r="D11" s="34" t="s">
        <v>60</v>
      </c>
      <c r="E11" s="30"/>
      <c r="F11" s="30"/>
      <c r="G11" s="30"/>
      <c r="H11" s="31"/>
      <c r="I11" s="28"/>
      <c r="J11" s="35" t="s">
        <v>106</v>
      </c>
      <c r="K11" s="14"/>
      <c r="L11" s="28"/>
      <c r="M11" s="28"/>
      <c r="N11" s="28"/>
      <c r="O11" s="28"/>
      <c r="P11" s="28"/>
      <c r="Q11" s="39" t="s">
        <v>62</v>
      </c>
      <c r="R11" s="31"/>
      <c r="S11" s="28"/>
    </row>
    <row r="12" spans="1:21" s="11" customFormat="1" ht="8.1" customHeight="1" x14ac:dyDescent="0.3">
      <c r="A12" s="28"/>
      <c r="B12" s="35"/>
      <c r="C12" s="34"/>
      <c r="D12" s="34"/>
      <c r="E12" s="30"/>
      <c r="F12" s="30"/>
      <c r="G12" s="30"/>
      <c r="H12" s="31"/>
      <c r="I12" s="28"/>
      <c r="J12" s="40"/>
      <c r="K12" s="30"/>
      <c r="L12" s="28"/>
      <c r="M12" s="28"/>
      <c r="N12" s="46"/>
      <c r="O12" s="28"/>
      <c r="P12" s="28"/>
      <c r="Q12" s="30"/>
      <c r="R12" s="31"/>
      <c r="S12" s="28"/>
    </row>
    <row r="13" spans="1:21" s="11" customFormat="1" ht="16.5" x14ac:dyDescent="0.3">
      <c r="A13" s="28"/>
      <c r="B13" s="35" t="s">
        <v>100</v>
      </c>
      <c r="C13" s="13">
        <v>45838</v>
      </c>
      <c r="D13" s="34" t="s">
        <v>60</v>
      </c>
      <c r="E13" s="30"/>
      <c r="F13" s="30"/>
      <c r="G13" s="30"/>
      <c r="H13" s="31"/>
      <c r="I13" s="28"/>
      <c r="J13" s="35" t="s">
        <v>107</v>
      </c>
      <c r="K13" s="44">
        <f>IFERROR((K9-K11),"")</f>
        <v>3.75</v>
      </c>
      <c r="L13" s="28"/>
      <c r="M13" s="28"/>
      <c r="N13" s="28"/>
      <c r="O13" s="28"/>
      <c r="P13" s="28"/>
      <c r="Q13" s="30"/>
      <c r="R13" s="31"/>
      <c r="S13" s="28"/>
    </row>
    <row r="14" spans="1:21" s="11" customFormat="1" ht="8.1" customHeight="1" x14ac:dyDescent="0.3">
      <c r="A14" s="28"/>
      <c r="B14" s="40"/>
      <c r="C14" s="47"/>
      <c r="D14" s="30"/>
      <c r="E14" s="30"/>
      <c r="F14" s="30"/>
      <c r="G14" s="30"/>
      <c r="H14" s="31"/>
      <c r="I14" s="28"/>
      <c r="J14" s="40"/>
      <c r="K14" s="30"/>
      <c r="L14" s="30"/>
      <c r="M14" s="30"/>
      <c r="N14" s="30"/>
      <c r="O14" s="30"/>
      <c r="P14" s="30"/>
      <c r="Q14" s="30"/>
      <c r="R14" s="31"/>
      <c r="S14" s="28"/>
    </row>
    <row r="15" spans="1:21" s="11" customFormat="1" ht="16.5" x14ac:dyDescent="0.3">
      <c r="A15" s="28"/>
      <c r="B15" s="35" t="s">
        <v>101</v>
      </c>
      <c r="C15" s="48">
        <f>IFERROR((IF(C11="","",IF(AND(C9="",C11=""),"",(C11-C9+1)))),"")</f>
        <v>91</v>
      </c>
      <c r="D15" s="30"/>
      <c r="E15" s="30"/>
      <c r="F15" s="30"/>
      <c r="G15" s="30"/>
      <c r="H15" s="31"/>
      <c r="I15" s="28"/>
      <c r="J15" s="35" t="s">
        <v>108</v>
      </c>
      <c r="K15" s="49">
        <f>ROUND(R15-K13,0)</f>
        <v>0</v>
      </c>
      <c r="L15" s="28"/>
      <c r="M15" s="28"/>
      <c r="N15" s="28"/>
      <c r="O15" s="28"/>
      <c r="P15" s="28"/>
      <c r="Q15" s="50">
        <f>+WORKDAY.INTL($C$11,$K$13,"0000011",Feriados!$A$2:$A$1140)</f>
        <v>45841</v>
      </c>
      <c r="R15" s="51">
        <f>+Q15-C11+K13-TRUNC(K13)</f>
        <v>3.75</v>
      </c>
      <c r="S15" s="28"/>
    </row>
    <row r="16" spans="1:21" s="11" customFormat="1" ht="8.1" customHeight="1" x14ac:dyDescent="0.3">
      <c r="A16" s="28"/>
      <c r="B16" s="35"/>
      <c r="C16" s="52"/>
      <c r="D16" s="30"/>
      <c r="E16" s="30"/>
      <c r="F16" s="30"/>
      <c r="G16" s="30"/>
      <c r="H16" s="31"/>
      <c r="I16" s="28"/>
      <c r="J16" s="40"/>
      <c r="K16" s="30"/>
      <c r="L16" s="30"/>
      <c r="M16" s="30"/>
      <c r="N16" s="30"/>
      <c r="O16" s="30"/>
      <c r="P16" s="30"/>
      <c r="Q16" s="30"/>
      <c r="R16" s="31"/>
      <c r="S16" s="28"/>
    </row>
    <row r="17" spans="1:22" s="11" customFormat="1" ht="15" customHeight="1" x14ac:dyDescent="0.3">
      <c r="A17" s="28"/>
      <c r="B17" s="40"/>
      <c r="C17" s="53" t="s">
        <v>16</v>
      </c>
      <c r="D17" s="53" t="s">
        <v>17</v>
      </c>
      <c r="E17" s="53" t="s">
        <v>18</v>
      </c>
      <c r="F17" s="43"/>
      <c r="G17" s="30"/>
      <c r="H17" s="31"/>
      <c r="I17" s="28"/>
      <c r="J17" s="40"/>
      <c r="K17" s="30"/>
      <c r="L17" s="28"/>
      <c r="M17" s="28"/>
      <c r="N17" s="28"/>
      <c r="O17" s="28"/>
      <c r="P17" s="28"/>
      <c r="Q17" s="30"/>
      <c r="R17" s="31"/>
      <c r="S17" s="28"/>
    </row>
    <row r="18" spans="1:22" s="11" customFormat="1" ht="16.5" x14ac:dyDescent="0.3">
      <c r="A18" s="28"/>
      <c r="B18" s="35" t="s">
        <v>102</v>
      </c>
      <c r="C18" s="48">
        <f>IFERROR(IF(AND(C9="",C11=""),"",DATEDIF(C9,C11,"y")),"")</f>
        <v>0</v>
      </c>
      <c r="D18" s="48">
        <f>IFERROR(IF(AND(C9="",C11=""),"",DATEDIF(C9,C11,"ym")),"")</f>
        <v>2</v>
      </c>
      <c r="E18" s="48">
        <f>IFERROR(IF(AND(C9="",C11=""),"",(DATEDIF(C9,C11,"md"))+1),"")</f>
        <v>30</v>
      </c>
      <c r="F18" s="54">
        <f>IFERROR((C15/365),"")</f>
        <v>0.24931506849315069</v>
      </c>
      <c r="G18" s="30"/>
      <c r="H18" s="31"/>
      <c r="I18" s="28"/>
      <c r="J18" s="40"/>
      <c r="K18" s="30"/>
      <c r="L18" s="28"/>
      <c r="M18" s="28"/>
      <c r="N18" s="28"/>
      <c r="O18" s="28"/>
      <c r="P18" s="28"/>
      <c r="Q18" s="30"/>
      <c r="R18" s="31"/>
      <c r="S18" s="28"/>
    </row>
    <row r="19" spans="1:22" s="11" customFormat="1" ht="16.5" x14ac:dyDescent="0.3">
      <c r="A19" s="28"/>
      <c r="B19" s="40"/>
      <c r="C19" s="30"/>
      <c r="D19" s="30"/>
      <c r="E19" s="30"/>
      <c r="F19" s="30"/>
      <c r="G19" s="30"/>
      <c r="H19" s="31"/>
      <c r="I19" s="28"/>
      <c r="J19" s="40"/>
      <c r="K19" s="30"/>
      <c r="L19" s="30"/>
      <c r="M19" s="30"/>
      <c r="N19" s="30"/>
      <c r="O19" s="30"/>
      <c r="P19" s="30"/>
      <c r="Q19" s="30"/>
      <c r="R19" s="31"/>
      <c r="S19" s="28"/>
    </row>
    <row r="20" spans="1:22" s="11" customFormat="1" ht="16.5" x14ac:dyDescent="0.3">
      <c r="A20" s="28"/>
      <c r="B20" s="55" t="s">
        <v>103</v>
      </c>
      <c r="C20" s="56">
        <f>IFERROR(IF(C9&lt;=29812,ROUND(C15/365,0),IF(AND(F18&gt;=1,D18=6),VLOOKUP(ROUND(F18,0),Hoja2!C23:D44,2,TRUE),VLOOKUP(Simulador!F18,Hoja2!C23:D44,2,TRUE))),"")</f>
        <v>0</v>
      </c>
      <c r="D20" s="30"/>
      <c r="E20" s="30"/>
      <c r="F20" s="30" t="s">
        <v>58</v>
      </c>
      <c r="G20" s="30"/>
      <c r="H20" s="31"/>
      <c r="I20" s="28"/>
      <c r="J20" s="55" t="s">
        <v>109</v>
      </c>
      <c r="K20" s="57">
        <f>ROUND(IFERROR((K13+K15),""),2)</f>
        <v>3.75</v>
      </c>
      <c r="L20" s="28"/>
      <c r="M20" s="28"/>
      <c r="N20" s="28"/>
      <c r="O20" s="28"/>
      <c r="P20" s="28"/>
      <c r="Q20" s="30"/>
      <c r="R20" s="31"/>
      <c r="S20" s="28"/>
    </row>
    <row r="21" spans="1:22" s="11" customFormat="1" ht="16.5" x14ac:dyDescent="0.3">
      <c r="A21" s="28"/>
      <c r="B21" s="58"/>
      <c r="C21" s="59"/>
      <c r="D21" s="59"/>
      <c r="E21" s="59"/>
      <c r="F21" s="59"/>
      <c r="G21" s="59"/>
      <c r="H21" s="60"/>
      <c r="I21" s="28"/>
      <c r="J21" s="58"/>
      <c r="K21" s="59"/>
      <c r="L21" s="61"/>
      <c r="M21" s="61"/>
      <c r="N21" s="61"/>
      <c r="O21" s="61"/>
      <c r="P21" s="61"/>
      <c r="Q21" s="59"/>
      <c r="R21" s="60"/>
      <c r="S21" s="28"/>
    </row>
    <row r="22" spans="1:22" s="11" customFormat="1" ht="8.1" customHeight="1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22" s="11" customFormat="1" ht="16.5" x14ac:dyDescent="0.3">
      <c r="A23" s="28"/>
      <c r="B23" s="101" t="s">
        <v>129</v>
      </c>
      <c r="C23" s="102"/>
      <c r="D23" s="102"/>
      <c r="E23" s="102"/>
      <c r="F23" s="102"/>
      <c r="G23" s="102"/>
      <c r="H23" s="103"/>
      <c r="I23" s="28"/>
      <c r="J23" s="101" t="s">
        <v>21</v>
      </c>
      <c r="K23" s="102"/>
      <c r="L23" s="102"/>
      <c r="M23" s="102"/>
      <c r="N23" s="102"/>
      <c r="O23" s="102"/>
      <c r="P23" s="102"/>
      <c r="Q23" s="102"/>
      <c r="R23" s="103"/>
      <c r="S23" s="28"/>
    </row>
    <row r="24" spans="1:22" s="11" customFormat="1" ht="16.5" x14ac:dyDescent="0.3">
      <c r="A24" s="28"/>
      <c r="B24" s="33"/>
      <c r="C24" s="30"/>
      <c r="D24" s="30"/>
      <c r="E24" s="30"/>
      <c r="F24" s="30"/>
      <c r="G24" s="30"/>
      <c r="H24" s="31"/>
      <c r="I24" s="28"/>
      <c r="J24" s="62"/>
      <c r="K24" s="30"/>
      <c r="L24" s="30"/>
      <c r="M24" s="30"/>
      <c r="N24" s="30"/>
      <c r="O24" s="30"/>
      <c r="P24" s="30"/>
      <c r="Q24" s="30"/>
      <c r="R24" s="31"/>
      <c r="S24" s="28"/>
    </row>
    <row r="25" spans="1:22" s="11" customFormat="1" ht="16.5" x14ac:dyDescent="0.3">
      <c r="A25" s="28"/>
      <c r="B25" s="63" t="s">
        <v>28</v>
      </c>
      <c r="C25" s="15">
        <v>529000</v>
      </c>
      <c r="D25" s="64" t="s">
        <v>125</v>
      </c>
      <c r="E25" s="30"/>
      <c r="F25" s="30"/>
      <c r="G25" s="30"/>
      <c r="H25" s="31"/>
      <c r="I25" s="28"/>
      <c r="J25" s="35" t="s">
        <v>110</v>
      </c>
      <c r="K25" s="16"/>
      <c r="L25" s="28"/>
      <c r="M25" s="28"/>
      <c r="N25" s="28"/>
      <c r="O25" s="28"/>
      <c r="P25" s="28"/>
      <c r="Q25" s="39" t="s">
        <v>63</v>
      </c>
      <c r="R25" s="31"/>
      <c r="S25" s="28"/>
      <c r="T25" s="17"/>
      <c r="U25" s="17"/>
      <c r="V25" s="17"/>
    </row>
    <row r="26" spans="1:22" s="11" customFormat="1" ht="16.5" x14ac:dyDescent="0.3">
      <c r="A26" s="28"/>
      <c r="B26" s="63" t="s">
        <v>27</v>
      </c>
      <c r="C26" s="18">
        <v>39800</v>
      </c>
      <c r="D26" s="64" t="s">
        <v>64</v>
      </c>
      <c r="E26" s="43"/>
      <c r="F26" s="43"/>
      <c r="G26" s="43"/>
      <c r="H26" s="65"/>
      <c r="I26" s="28"/>
      <c r="J26" s="66"/>
      <c r="K26" s="30"/>
      <c r="L26" s="28"/>
      <c r="M26" s="28"/>
      <c r="N26" s="28"/>
      <c r="O26" s="28"/>
      <c r="P26" s="28"/>
      <c r="Q26" s="30"/>
      <c r="R26" s="31"/>
      <c r="S26" s="28"/>
    </row>
    <row r="27" spans="1:22" s="11" customFormat="1" ht="16.5" x14ac:dyDescent="0.3">
      <c r="A27" s="28"/>
      <c r="B27" s="33"/>
      <c r="C27" s="30"/>
      <c r="D27" s="30"/>
      <c r="E27" s="30"/>
      <c r="F27" s="30"/>
      <c r="G27" s="30"/>
      <c r="H27" s="31"/>
      <c r="I27" s="28"/>
      <c r="J27" s="35" t="s">
        <v>111</v>
      </c>
      <c r="K27" s="67">
        <f>IFERROR(IF(OR(C7="Art. 161-1: Necesidades de la empresa",C7="Art. 161-2: Desahucio"),IF(OR(C13="",AND(M27&lt;=29,M27&gt;=0)),C30,0),0),"")</f>
        <v>0</v>
      </c>
      <c r="L27" s="28"/>
      <c r="M27" s="68">
        <f>C11-C13</f>
        <v>0</v>
      </c>
      <c r="N27" s="28"/>
      <c r="O27" s="28"/>
      <c r="P27" s="28"/>
      <c r="Q27" s="69" t="str">
        <f>IF(K27=0,"No aplica","")</f>
        <v>No aplica</v>
      </c>
      <c r="R27" s="31"/>
      <c r="S27" s="28"/>
    </row>
    <row r="28" spans="1:22" s="11" customFormat="1" ht="16.5" x14ac:dyDescent="0.3">
      <c r="A28" s="28"/>
      <c r="B28" s="63" t="s">
        <v>25</v>
      </c>
      <c r="C28" s="19" t="s">
        <v>65</v>
      </c>
      <c r="D28" s="34" t="s">
        <v>59</v>
      </c>
      <c r="E28" s="30"/>
      <c r="F28" s="30"/>
      <c r="G28" s="30"/>
      <c r="H28" s="31"/>
      <c r="I28" s="28"/>
      <c r="J28" s="66"/>
      <c r="K28" s="30"/>
      <c r="L28" s="28"/>
      <c r="M28" s="28"/>
      <c r="N28" s="28"/>
      <c r="O28" s="28"/>
      <c r="P28" s="28"/>
      <c r="Q28" s="30"/>
      <c r="R28" s="31"/>
      <c r="S28" s="28"/>
    </row>
    <row r="29" spans="1:22" s="11" customFormat="1" ht="16.5" x14ac:dyDescent="0.3">
      <c r="A29" s="28"/>
      <c r="B29" s="33"/>
      <c r="C29" s="30"/>
      <c r="D29" s="30"/>
      <c r="E29" s="30"/>
      <c r="F29" s="30"/>
      <c r="G29" s="30"/>
      <c r="H29" s="31"/>
      <c r="I29" s="28"/>
      <c r="J29" s="35" t="s">
        <v>112</v>
      </c>
      <c r="K29" s="67">
        <f>IFERROR(IF(OR(C7="Art. 161-1: Necesidades de la empresa",C7="Art. 161-2: Desahucio"),IF(C20=0,0,C30*C20),0),"")</f>
        <v>0</v>
      </c>
      <c r="L29" s="28"/>
      <c r="M29" s="28"/>
      <c r="N29" s="28"/>
      <c r="O29" s="28"/>
      <c r="P29" s="28"/>
      <c r="Q29" s="69" t="str">
        <f>IF(K29=0,"No aplica","")</f>
        <v>No aplica</v>
      </c>
      <c r="R29" s="31"/>
      <c r="S29" s="28"/>
    </row>
    <row r="30" spans="1:22" s="11" customFormat="1" ht="16.5" x14ac:dyDescent="0.3">
      <c r="A30" s="28"/>
      <c r="B30" s="70" t="s">
        <v>26</v>
      </c>
      <c r="C30" s="71">
        <f>IFERROR((IF(C28="Fijo",C37,C49)),0)</f>
        <v>3582000</v>
      </c>
      <c r="D30" s="30" t="str">
        <f>IF(OR(C30="",C30=0,ISERROR(C30),C30&lt;90*C26),"","Tope legal 90 UF")</f>
        <v>Tope legal 90 UF</v>
      </c>
      <c r="E30" s="30"/>
      <c r="F30" s="30"/>
      <c r="G30" s="30"/>
      <c r="H30" s="31"/>
      <c r="I30" s="28"/>
      <c r="J30" s="66"/>
      <c r="K30" s="72"/>
      <c r="L30" s="28"/>
      <c r="M30" s="28"/>
      <c r="N30" s="28"/>
      <c r="O30" s="28"/>
      <c r="P30" s="28"/>
      <c r="Q30" s="30"/>
      <c r="R30" s="31"/>
      <c r="S30" s="28"/>
    </row>
    <row r="31" spans="1:22" s="11" customFormat="1" ht="15.75" customHeight="1" x14ac:dyDescent="0.3">
      <c r="A31" s="28"/>
      <c r="B31" s="33"/>
      <c r="C31" s="30"/>
      <c r="D31" s="30"/>
      <c r="E31" s="30"/>
      <c r="F31" s="30"/>
      <c r="G31" s="30"/>
      <c r="H31" s="31"/>
      <c r="I31" s="28"/>
      <c r="J31" s="73" t="s">
        <v>113</v>
      </c>
      <c r="K31" s="67">
        <f>IFERROR(IF(C28="Fijo",IFERROR(((C33/30)*K20),""),IFERROR((((C40+C44)/30)*K20),"")),"")</f>
        <v>4375000</v>
      </c>
      <c r="L31" s="28"/>
      <c r="M31" s="28"/>
      <c r="N31" s="28"/>
      <c r="O31" s="28"/>
      <c r="P31" s="28"/>
      <c r="Q31" s="74" t="str">
        <f>IF(K31=0,"No aplica","")</f>
        <v/>
      </c>
      <c r="R31" s="31"/>
      <c r="S31" s="75"/>
    </row>
    <row r="32" spans="1:22" s="11" customFormat="1" ht="16.5" x14ac:dyDescent="0.3">
      <c r="A32" s="28"/>
      <c r="B32" s="76" t="s">
        <v>22</v>
      </c>
      <c r="C32" s="77"/>
      <c r="D32" s="77"/>
      <c r="E32" s="77"/>
      <c r="F32" s="77"/>
      <c r="G32" s="78"/>
      <c r="H32" s="79"/>
      <c r="I32" s="28"/>
      <c r="J32" s="66"/>
      <c r="K32" s="30"/>
      <c r="L32" s="28"/>
      <c r="M32" s="28"/>
      <c r="N32" s="28"/>
      <c r="O32" s="28"/>
      <c r="P32" s="28"/>
      <c r="Q32" s="30"/>
      <c r="R32" s="31"/>
      <c r="S32" s="28"/>
    </row>
    <row r="33" spans="1:19" s="11" customFormat="1" ht="16.5" x14ac:dyDescent="0.3">
      <c r="A33" s="28"/>
      <c r="B33" s="35" t="s">
        <v>116</v>
      </c>
      <c r="C33" s="20">
        <v>35000000</v>
      </c>
      <c r="D33" s="64" t="s">
        <v>61</v>
      </c>
      <c r="E33" s="80"/>
      <c r="F33" s="80"/>
      <c r="G33" s="81"/>
      <c r="H33" s="79"/>
      <c r="I33" s="28"/>
      <c r="J33" s="73" t="s">
        <v>114</v>
      </c>
      <c r="K33" s="67">
        <f>IFERROR((IF(C7="Art. 159-5: Conclusión del trabajo que dio origen al contrato (obra o faena)",IFERROR(((C30/30)*(P33*L33)),""),0)),"")</f>
        <v>895500</v>
      </c>
      <c r="L33" s="68">
        <f>IF(C7="Art. 159-5: Conclusión del trabajo que dio origen al contrato (obra o faena)",IF(C11&gt;43466,VLOOKUP(C11,Hoja2!$F$23:$G$26,2,TRUE),"No aplica"),"No aplica")</f>
        <v>2.5</v>
      </c>
      <c r="M33" s="68">
        <f>C18*12</f>
        <v>0</v>
      </c>
      <c r="N33" s="82">
        <f>D18</f>
        <v>2</v>
      </c>
      <c r="O33" s="68">
        <f>IF(E18&gt;=15,1,0)</f>
        <v>1</v>
      </c>
      <c r="P33" s="68">
        <f>SUM(M33:O33)</f>
        <v>3</v>
      </c>
      <c r="Q33" s="74" t="str">
        <f>IF(K33=0,"No aplica","")</f>
        <v/>
      </c>
      <c r="R33" s="31"/>
      <c r="S33" s="28"/>
    </row>
    <row r="34" spans="1:19" s="11" customFormat="1" ht="16.5" x14ac:dyDescent="0.3">
      <c r="A34" s="28"/>
      <c r="B34" s="35" t="s">
        <v>117</v>
      </c>
      <c r="C34" s="21" t="s">
        <v>66</v>
      </c>
      <c r="D34" s="64" t="s">
        <v>59</v>
      </c>
      <c r="E34" s="83" t="s">
        <v>20</v>
      </c>
      <c r="F34" s="67">
        <f>IFERROR(IF(C34="Sí",IF(C33*25%&lt;(4.75*C25)/12,C33*25%,(4.75*C25)/12),0),"")</f>
        <v>209395.83333333334</v>
      </c>
      <c r="G34" s="81"/>
      <c r="H34" s="79"/>
      <c r="I34" s="28"/>
      <c r="J34" s="66"/>
      <c r="K34" s="30"/>
      <c r="L34" s="28"/>
      <c r="M34" s="28"/>
      <c r="N34" s="28"/>
      <c r="O34" s="28"/>
      <c r="P34" s="28"/>
      <c r="Q34" s="30"/>
      <c r="R34" s="31"/>
      <c r="S34" s="28"/>
    </row>
    <row r="35" spans="1:19" s="11" customFormat="1" ht="16.5" x14ac:dyDescent="0.3">
      <c r="A35" s="28"/>
      <c r="B35" s="35" t="s">
        <v>118</v>
      </c>
      <c r="C35" s="20"/>
      <c r="D35" s="64" t="s">
        <v>124</v>
      </c>
      <c r="E35" s="84"/>
      <c r="F35" s="80"/>
      <c r="G35" s="81"/>
      <c r="H35" s="79"/>
      <c r="I35" s="28"/>
      <c r="J35" s="55" t="s">
        <v>115</v>
      </c>
      <c r="K35" s="71">
        <f>IFERROR((K25+K27+K29+K31+K33),"")</f>
        <v>5270500</v>
      </c>
      <c r="L35" s="28"/>
      <c r="M35" s="28"/>
      <c r="N35" s="28"/>
      <c r="O35" s="28"/>
      <c r="P35" s="28"/>
      <c r="Q35" s="30"/>
      <c r="R35" s="31"/>
      <c r="S35" s="28"/>
    </row>
    <row r="36" spans="1:19" s="11" customFormat="1" ht="16.5" x14ac:dyDescent="0.3">
      <c r="A36" s="28"/>
      <c r="B36" s="35" t="s">
        <v>119</v>
      </c>
      <c r="C36" s="20"/>
      <c r="D36" s="64" t="s">
        <v>124</v>
      </c>
      <c r="E36" s="84"/>
      <c r="F36" s="80"/>
      <c r="G36" s="81"/>
      <c r="H36" s="79"/>
      <c r="I36" s="28"/>
      <c r="J36" s="85"/>
      <c r="K36" s="59"/>
      <c r="L36" s="61"/>
      <c r="M36" s="61"/>
      <c r="N36" s="61"/>
      <c r="O36" s="61"/>
      <c r="P36" s="61"/>
      <c r="Q36" s="59"/>
      <c r="R36" s="60"/>
      <c r="S36" s="28"/>
    </row>
    <row r="37" spans="1:19" s="11" customFormat="1" ht="16.5" x14ac:dyDescent="0.3">
      <c r="A37" s="28"/>
      <c r="B37" s="86" t="s">
        <v>127</v>
      </c>
      <c r="C37" s="87">
        <f>IF((C33+F34+C35+C36)&gt;=90*C26,90*C26,C33+F34+C35+C36)</f>
        <v>3582000</v>
      </c>
      <c r="D37" s="88"/>
      <c r="E37" s="89"/>
      <c r="F37" s="80"/>
      <c r="G37" s="80"/>
      <c r="H37" s="7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 s="11" customFormat="1" ht="8.1" customHeight="1" x14ac:dyDescent="0.3">
      <c r="A38" s="28"/>
      <c r="B38" s="90"/>
      <c r="C38" s="30"/>
      <c r="D38" s="30"/>
      <c r="E38" s="30"/>
      <c r="F38" s="30"/>
      <c r="G38" s="30"/>
      <c r="H38" s="7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 s="11" customFormat="1" ht="16.5" x14ac:dyDescent="0.3">
      <c r="A39" s="28"/>
      <c r="B39" s="76" t="s">
        <v>23</v>
      </c>
      <c r="C39" s="77"/>
      <c r="D39" s="77"/>
      <c r="E39" s="77"/>
      <c r="F39" s="77"/>
      <c r="G39" s="78"/>
      <c r="H39" s="79"/>
      <c r="I39" s="28"/>
      <c r="J39" s="28"/>
      <c r="K39" s="28"/>
      <c r="L39" s="28"/>
      <c r="M39" s="28"/>
      <c r="N39" s="28"/>
      <c r="O39" s="28"/>
      <c r="P39" s="28"/>
      <c r="Q39" s="91"/>
      <c r="R39" s="28"/>
      <c r="S39" s="28"/>
    </row>
    <row r="40" spans="1:19" s="11" customFormat="1" ht="15.75" customHeight="1" x14ac:dyDescent="0.3">
      <c r="A40" s="28"/>
      <c r="B40" s="73" t="s">
        <v>116</v>
      </c>
      <c r="C40" s="20"/>
      <c r="D40" s="39" t="s">
        <v>61</v>
      </c>
      <c r="E40" s="80"/>
      <c r="F40" s="80"/>
      <c r="G40" s="81"/>
      <c r="H40" s="7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 s="11" customFormat="1" ht="15.75" customHeight="1" x14ac:dyDescent="0.3">
      <c r="A41" s="28"/>
      <c r="B41" s="73" t="s">
        <v>123</v>
      </c>
      <c r="C41" s="20"/>
      <c r="D41" s="39" t="s">
        <v>61</v>
      </c>
      <c r="E41" s="80"/>
      <c r="F41" s="80"/>
      <c r="G41" s="81"/>
      <c r="H41" s="7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92"/>
    </row>
    <row r="42" spans="1:19" s="11" customFormat="1" ht="15.75" customHeight="1" x14ac:dyDescent="0.3">
      <c r="A42" s="28"/>
      <c r="B42" s="73" t="s">
        <v>122</v>
      </c>
      <c r="C42" s="20"/>
      <c r="D42" s="39" t="s">
        <v>61</v>
      </c>
      <c r="E42" s="80"/>
      <c r="F42" s="80"/>
      <c r="G42" s="81"/>
      <c r="H42" s="7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s="11" customFormat="1" ht="15.75" customHeight="1" x14ac:dyDescent="0.3">
      <c r="A43" s="28"/>
      <c r="B43" s="73" t="s">
        <v>121</v>
      </c>
      <c r="C43" s="20"/>
      <c r="D43" s="39" t="s">
        <v>61</v>
      </c>
      <c r="E43" s="80"/>
      <c r="F43" s="80"/>
      <c r="G43" s="81"/>
      <c r="H43" s="7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19" s="11" customFormat="1" ht="15.75" customHeight="1" x14ac:dyDescent="0.3">
      <c r="A44" s="28"/>
      <c r="B44" s="93" t="s">
        <v>120</v>
      </c>
      <c r="C44" s="94">
        <f>IFERROR(AVERAGE(C41:C43),0)</f>
        <v>0</v>
      </c>
      <c r="D44" s="80"/>
      <c r="E44" s="80"/>
      <c r="F44" s="80"/>
      <c r="G44" s="81"/>
      <c r="H44" s="79"/>
      <c r="I44" s="28"/>
      <c r="J44" s="92"/>
      <c r="K44" s="28"/>
      <c r="L44" s="28"/>
      <c r="M44" s="28"/>
      <c r="N44" s="28"/>
      <c r="O44" s="28"/>
      <c r="P44" s="28"/>
      <c r="Q44" s="28"/>
      <c r="R44" s="28"/>
      <c r="S44" s="28"/>
    </row>
    <row r="45" spans="1:19" s="11" customFormat="1" ht="8.1" customHeight="1" x14ac:dyDescent="0.3">
      <c r="A45" s="28"/>
      <c r="B45" s="73"/>
      <c r="C45" s="80"/>
      <c r="D45" s="80"/>
      <c r="E45" s="80"/>
      <c r="F45" s="80"/>
      <c r="G45" s="81"/>
      <c r="H45" s="79"/>
      <c r="I45" s="28"/>
      <c r="J45" s="92"/>
      <c r="K45" s="28"/>
      <c r="L45" s="28"/>
      <c r="M45" s="28"/>
      <c r="N45" s="28"/>
      <c r="O45" s="28"/>
      <c r="P45" s="28"/>
      <c r="Q45" s="28"/>
      <c r="R45" s="28"/>
      <c r="S45" s="28"/>
    </row>
    <row r="46" spans="1:19" s="11" customFormat="1" ht="16.5" x14ac:dyDescent="0.3">
      <c r="A46" s="28"/>
      <c r="B46" s="73" t="s">
        <v>117</v>
      </c>
      <c r="C46" s="19" t="s">
        <v>130</v>
      </c>
      <c r="D46" s="39" t="s">
        <v>59</v>
      </c>
      <c r="E46" s="83" t="s">
        <v>20</v>
      </c>
      <c r="F46" s="67">
        <f>IFERROR((IF(C46="Sí",IF((C40+C44)*25%&lt;(4.75*$C$25)/12,(C40+C44)*25%,(4.75*$C$25)/12),0)),"")</f>
        <v>0</v>
      </c>
      <c r="G46" s="81"/>
      <c r="H46" s="79"/>
      <c r="I46" s="28"/>
      <c r="J46" s="92"/>
      <c r="K46" s="28"/>
      <c r="L46" s="28"/>
      <c r="M46" s="28"/>
      <c r="N46" s="28"/>
      <c r="O46" s="28"/>
      <c r="P46" s="28"/>
      <c r="Q46" s="28"/>
      <c r="R46" s="28"/>
      <c r="S46" s="28"/>
    </row>
    <row r="47" spans="1:19" s="11" customFormat="1" ht="16.5" x14ac:dyDescent="0.3">
      <c r="A47" s="28"/>
      <c r="B47" s="73" t="s">
        <v>118</v>
      </c>
      <c r="C47" s="16"/>
      <c r="D47" s="39" t="s">
        <v>24</v>
      </c>
      <c r="E47" s="84"/>
      <c r="F47" s="80"/>
      <c r="G47" s="81"/>
      <c r="H47" s="79"/>
      <c r="I47" s="28"/>
      <c r="J47" s="92"/>
      <c r="K47" s="28"/>
      <c r="L47" s="28"/>
      <c r="M47" s="28"/>
      <c r="N47" s="28"/>
      <c r="O47" s="28"/>
      <c r="P47" s="28"/>
      <c r="Q47" s="28"/>
      <c r="R47" s="28"/>
      <c r="S47" s="28"/>
    </row>
    <row r="48" spans="1:19" s="11" customFormat="1" ht="16.5" x14ac:dyDescent="0.3">
      <c r="A48" s="28"/>
      <c r="B48" s="73" t="s">
        <v>119</v>
      </c>
      <c r="C48" s="16"/>
      <c r="D48" s="39" t="s">
        <v>24</v>
      </c>
      <c r="E48" s="84"/>
      <c r="F48" s="80"/>
      <c r="G48" s="81"/>
      <c r="H48" s="7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s="11" customFormat="1" ht="16.5" x14ac:dyDescent="0.3">
      <c r="A49" s="28"/>
      <c r="B49" s="86" t="s">
        <v>126</v>
      </c>
      <c r="C49" s="95">
        <f>IFERROR((IF((C40+C44+F46+C47+C48)&gt;=90*C26,90*C26,(C40+C44+F46+C47+C48))),"")</f>
        <v>0</v>
      </c>
      <c r="D49" s="80"/>
      <c r="E49" s="80"/>
      <c r="F49" s="80"/>
      <c r="G49" s="80"/>
      <c r="H49" s="7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 spans="1:19" s="11" customFormat="1" ht="16.5" x14ac:dyDescent="0.3">
      <c r="A50" s="28"/>
      <c r="B50" s="96"/>
      <c r="C50" s="97"/>
      <c r="D50" s="97"/>
      <c r="E50" s="97"/>
      <c r="F50" s="97"/>
      <c r="G50" s="98"/>
      <c r="H50" s="99"/>
      <c r="I50" s="28"/>
      <c r="J50" s="108" t="s">
        <v>131</v>
      </c>
      <c r="K50" s="108"/>
      <c r="L50" s="108"/>
      <c r="M50" s="108"/>
      <c r="N50" s="108"/>
      <c r="O50" s="108"/>
      <c r="P50" s="108"/>
      <c r="Q50" s="108"/>
      <c r="R50" s="108"/>
      <c r="S50" s="28"/>
    </row>
    <row r="51" spans="1:19" x14ac:dyDescent="0.25">
      <c r="A51" s="25"/>
      <c r="B51" s="100"/>
      <c r="C51" s="100"/>
      <c r="D51" s="100"/>
      <c r="E51" s="100"/>
      <c r="F51" s="100"/>
      <c r="G51" s="100"/>
      <c r="H51" s="100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hidden="1" x14ac:dyDescent="0.25">
      <c r="B52" s="1"/>
      <c r="C52" s="1"/>
      <c r="D52" s="1"/>
      <c r="E52" s="1"/>
      <c r="F52" s="1"/>
      <c r="G52" s="1"/>
      <c r="H52" s="1"/>
    </row>
    <row r="53" spans="1:19" hidden="1" x14ac:dyDescent="0.25">
      <c r="B53" s="1"/>
      <c r="C53" s="1"/>
      <c r="D53" s="1"/>
      <c r="E53" s="1"/>
      <c r="F53" s="1"/>
      <c r="G53" s="1"/>
      <c r="H53" s="1"/>
    </row>
    <row r="54" spans="1:19" hidden="1" x14ac:dyDescent="0.25">
      <c r="B54" s="1"/>
      <c r="C54" s="1"/>
      <c r="D54" s="1"/>
      <c r="E54" s="1"/>
      <c r="F54" s="1"/>
      <c r="G54" s="1"/>
      <c r="H54" s="1"/>
      <c r="Q54" s="22"/>
    </row>
    <row r="56" spans="1:19" hidden="1" x14ac:dyDescent="0.25">
      <c r="C56" s="3"/>
    </row>
  </sheetData>
  <mergeCells count="7">
    <mergeCell ref="J50:R50"/>
    <mergeCell ref="J23:R23"/>
    <mergeCell ref="J4:R4"/>
    <mergeCell ref="B23:H23"/>
    <mergeCell ref="B4:H4"/>
    <mergeCell ref="B1:R2"/>
    <mergeCell ref="C7:G7"/>
  </mergeCells>
  <dataValidations disablePrompts="1" count="2">
    <dataValidation type="list" allowBlank="1" showInputMessage="1" showErrorMessage="1" sqref="C46 C34 K7" xr:uid="{DF4449F0-9A16-4239-B693-81D95AF3ABE2}">
      <formula1>"Sí,No"</formula1>
    </dataValidation>
    <dataValidation type="list" allowBlank="1" showInputMessage="1" showErrorMessage="1" sqref="C28" xr:uid="{BC8CFBA8-3673-4A77-A6C5-43F3C9446F26}">
      <formula1>"Fijo,Variable"</formula1>
    </dataValidation>
  </dataValidations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C4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8CD2666-54B5-4923-9BD3-C2A5AB8C43D5}">
          <x14:formula1>
            <xm:f>Hoja2!$B$4:$B$18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5D54-803C-48C0-82FD-12B9DC89ABD7}">
  <dimension ref="A1:E20"/>
  <sheetViews>
    <sheetView workbookViewId="0">
      <selection activeCell="E25" sqref="E25"/>
    </sheetView>
  </sheetViews>
  <sheetFormatPr baseColWidth="10" defaultColWidth="0" defaultRowHeight="16.5" x14ac:dyDescent="0.3"/>
  <cols>
    <col min="1" max="1" width="12.42578125" style="8" bestFit="1" customWidth="1"/>
    <col min="2" max="2" width="45.7109375" style="10" bestFit="1" customWidth="1"/>
    <col min="3" max="3" width="11.28515625" style="10" customWidth="1"/>
    <col min="4" max="4" width="39.85546875" style="10" bestFit="1" customWidth="1"/>
    <col min="5" max="5" width="11.42578125" style="5" customWidth="1"/>
    <col min="6" max="16384" width="11.42578125" style="5" hidden="1"/>
  </cols>
  <sheetData>
    <row r="1" spans="1:4" s="6" customFormat="1" x14ac:dyDescent="0.3">
      <c r="A1" s="7" t="s">
        <v>67</v>
      </c>
      <c r="B1" s="9" t="s">
        <v>68</v>
      </c>
      <c r="C1" s="9" t="s">
        <v>69</v>
      </c>
      <c r="D1" s="9" t="s">
        <v>70</v>
      </c>
    </row>
    <row r="2" spans="1:4" x14ac:dyDescent="0.3">
      <c r="A2" s="8">
        <v>45658</v>
      </c>
      <c r="B2" s="10" t="s">
        <v>38</v>
      </c>
      <c r="C2" s="10" t="s">
        <v>71</v>
      </c>
      <c r="D2" s="10" t="s">
        <v>72</v>
      </c>
    </row>
    <row r="3" spans="1:4" x14ac:dyDescent="0.3">
      <c r="A3" s="8">
        <v>45765</v>
      </c>
      <c r="B3" s="10" t="s">
        <v>40</v>
      </c>
      <c r="C3" s="10" t="s">
        <v>73</v>
      </c>
      <c r="D3" s="10" t="s">
        <v>74</v>
      </c>
    </row>
    <row r="4" spans="1:4" x14ac:dyDescent="0.3">
      <c r="A4" s="8">
        <v>45766</v>
      </c>
      <c r="B4" s="10" t="s">
        <v>75</v>
      </c>
      <c r="C4" s="10" t="s">
        <v>73</v>
      </c>
      <c r="D4" s="10" t="s">
        <v>74</v>
      </c>
    </row>
    <row r="5" spans="1:4" x14ac:dyDescent="0.3">
      <c r="A5" s="8">
        <v>45778</v>
      </c>
      <c r="B5" s="10" t="s">
        <v>96</v>
      </c>
      <c r="C5" s="10" t="s">
        <v>71</v>
      </c>
      <c r="D5" s="10" t="s">
        <v>76</v>
      </c>
    </row>
    <row r="6" spans="1:4" x14ac:dyDescent="0.3">
      <c r="A6" s="8">
        <v>45798</v>
      </c>
      <c r="B6" s="10" t="s">
        <v>77</v>
      </c>
      <c r="C6" s="10" t="s">
        <v>71</v>
      </c>
      <c r="D6" s="10" t="s">
        <v>74</v>
      </c>
    </row>
    <row r="7" spans="1:4" x14ac:dyDescent="0.3">
      <c r="A7" s="8">
        <v>45828</v>
      </c>
      <c r="B7" s="10" t="s">
        <v>78</v>
      </c>
      <c r="C7" s="10" t="s">
        <v>71</v>
      </c>
      <c r="D7" s="10" t="s">
        <v>79</v>
      </c>
    </row>
    <row r="8" spans="1:4" x14ac:dyDescent="0.3">
      <c r="A8" s="8">
        <v>45837</v>
      </c>
      <c r="B8" s="10" t="s">
        <v>46</v>
      </c>
      <c r="C8" s="10" t="s">
        <v>73</v>
      </c>
      <c r="D8" s="10" t="s">
        <v>80</v>
      </c>
    </row>
    <row r="9" spans="1:4" x14ac:dyDescent="0.3">
      <c r="A9" s="8">
        <v>45837</v>
      </c>
      <c r="B9" s="10" t="s">
        <v>91</v>
      </c>
      <c r="C9" s="10" t="s">
        <v>71</v>
      </c>
      <c r="D9" s="10" t="s">
        <v>81</v>
      </c>
    </row>
    <row r="10" spans="1:4" x14ac:dyDescent="0.3">
      <c r="A10" s="8">
        <v>45854</v>
      </c>
      <c r="B10" s="10" t="s">
        <v>82</v>
      </c>
      <c r="C10" s="10" t="s">
        <v>73</v>
      </c>
      <c r="D10" s="10" t="s">
        <v>83</v>
      </c>
    </row>
    <row r="11" spans="1:4" x14ac:dyDescent="0.3">
      <c r="A11" s="8">
        <v>45884</v>
      </c>
      <c r="B11" s="10" t="s">
        <v>48</v>
      </c>
      <c r="C11" s="10" t="s">
        <v>73</v>
      </c>
      <c r="D11" s="10" t="s">
        <v>74</v>
      </c>
    </row>
    <row r="12" spans="1:4" x14ac:dyDescent="0.3">
      <c r="A12" s="8">
        <v>45918</v>
      </c>
      <c r="B12" s="10" t="s">
        <v>92</v>
      </c>
      <c r="C12" s="10" t="s">
        <v>71</v>
      </c>
      <c r="D12" s="10" t="s">
        <v>72</v>
      </c>
    </row>
    <row r="13" spans="1:4" x14ac:dyDescent="0.3">
      <c r="A13" s="8">
        <v>45919</v>
      </c>
      <c r="B13" s="10" t="s">
        <v>93</v>
      </c>
      <c r="C13" s="10" t="s">
        <v>71</v>
      </c>
      <c r="D13" s="10" t="s">
        <v>84</v>
      </c>
    </row>
    <row r="14" spans="1:4" x14ac:dyDescent="0.3">
      <c r="A14" s="8">
        <v>45942</v>
      </c>
      <c r="B14" s="10" t="s">
        <v>85</v>
      </c>
      <c r="C14" s="10" t="s">
        <v>71</v>
      </c>
      <c r="D14" s="10" t="s">
        <v>86</v>
      </c>
    </row>
    <row r="15" spans="1:4" x14ac:dyDescent="0.3">
      <c r="A15" s="8">
        <v>45961</v>
      </c>
      <c r="B15" s="10" t="s">
        <v>51</v>
      </c>
      <c r="C15" s="10" t="s">
        <v>73</v>
      </c>
      <c r="D15" s="10" t="s">
        <v>87</v>
      </c>
    </row>
    <row r="16" spans="1:4" x14ac:dyDescent="0.3">
      <c r="A16" s="8">
        <v>45962</v>
      </c>
      <c r="B16" s="10" t="s">
        <v>53</v>
      </c>
      <c r="C16" s="10" t="s">
        <v>73</v>
      </c>
      <c r="D16" s="10" t="s">
        <v>74</v>
      </c>
    </row>
    <row r="17" spans="1:4" x14ac:dyDescent="0.3">
      <c r="A17" s="8">
        <v>45977</v>
      </c>
      <c r="B17" s="10" t="s">
        <v>94</v>
      </c>
      <c r="C17" s="10" t="s">
        <v>71</v>
      </c>
      <c r="D17" s="10" t="s">
        <v>88</v>
      </c>
    </row>
    <row r="18" spans="1:4" x14ac:dyDescent="0.3">
      <c r="A18" s="8">
        <v>45999</v>
      </c>
      <c r="B18" s="10" t="s">
        <v>89</v>
      </c>
      <c r="C18" s="10" t="s">
        <v>73</v>
      </c>
      <c r="D18" s="10" t="s">
        <v>74</v>
      </c>
    </row>
    <row r="19" spans="1:4" x14ac:dyDescent="0.3">
      <c r="A19" s="8">
        <v>46005</v>
      </c>
      <c r="B19" s="10" t="s">
        <v>95</v>
      </c>
      <c r="C19" s="10" t="s">
        <v>71</v>
      </c>
      <c r="D19" s="10" t="s">
        <v>90</v>
      </c>
    </row>
    <row r="20" spans="1:4" x14ac:dyDescent="0.3">
      <c r="A20" s="8">
        <v>46016</v>
      </c>
      <c r="B20" s="10" t="s">
        <v>55</v>
      </c>
      <c r="C20" s="10" t="s">
        <v>73</v>
      </c>
      <c r="D20" s="10" t="s">
        <v>72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5122-C59D-4842-B81C-1C3FEC3FBDA2}">
  <sheetPr codeName="Hoja2"/>
  <dimension ref="B4:G53"/>
  <sheetViews>
    <sheetView workbookViewId="0">
      <selection activeCell="H47" sqref="H47"/>
    </sheetView>
  </sheetViews>
  <sheetFormatPr baseColWidth="10" defaultRowHeight="15" x14ac:dyDescent="0.25"/>
  <sheetData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3</v>
      </c>
    </row>
    <row r="11" spans="2:2" x14ac:dyDescent="0.25">
      <c r="B11" t="s">
        <v>4</v>
      </c>
    </row>
    <row r="12" spans="2:2" x14ac:dyDescent="0.25">
      <c r="B12" t="s">
        <v>5</v>
      </c>
    </row>
    <row r="13" spans="2:2" x14ac:dyDescent="0.25">
      <c r="B13" t="s">
        <v>6</v>
      </c>
    </row>
    <row r="14" spans="2:2" x14ac:dyDescent="0.25">
      <c r="B14" t="s">
        <v>7</v>
      </c>
    </row>
    <row r="15" spans="2:2" x14ac:dyDescent="0.25">
      <c r="B15" t="s">
        <v>8</v>
      </c>
    </row>
    <row r="16" spans="2:2" x14ac:dyDescent="0.25">
      <c r="B16" t="s">
        <v>9</v>
      </c>
    </row>
    <row r="17" spans="2:7" x14ac:dyDescent="0.25">
      <c r="B17" t="s">
        <v>1</v>
      </c>
    </row>
    <row r="18" spans="2:7" x14ac:dyDescent="0.25">
      <c r="B18" t="s">
        <v>2</v>
      </c>
    </row>
    <row r="23" spans="2:7" x14ac:dyDescent="0.25">
      <c r="B23">
        <v>0.55555555555555536</v>
      </c>
      <c r="C23">
        <v>0</v>
      </c>
      <c r="D23">
        <v>0</v>
      </c>
      <c r="F23" s="2">
        <v>43466</v>
      </c>
      <c r="G23">
        <v>1</v>
      </c>
    </row>
    <row r="24" spans="2:7" x14ac:dyDescent="0.25">
      <c r="C24">
        <v>1</v>
      </c>
      <c r="D24">
        <v>1</v>
      </c>
      <c r="F24" s="2">
        <v>44013</v>
      </c>
      <c r="G24">
        <v>1.5</v>
      </c>
    </row>
    <row r="25" spans="2:7" x14ac:dyDescent="0.25">
      <c r="C25">
        <f>1+B23</f>
        <v>1.5555555555555554</v>
      </c>
      <c r="D25">
        <v>1</v>
      </c>
      <c r="F25" s="2">
        <v>44378</v>
      </c>
      <c r="G25">
        <v>2</v>
      </c>
    </row>
    <row r="26" spans="2:7" x14ac:dyDescent="0.25">
      <c r="C26">
        <v>1.6</v>
      </c>
      <c r="D26">
        <v>2</v>
      </c>
      <c r="F26" s="2">
        <v>44562</v>
      </c>
      <c r="G26">
        <v>2.5</v>
      </c>
    </row>
    <row r="27" spans="2:7" x14ac:dyDescent="0.25">
      <c r="C27">
        <f>2+B23</f>
        <v>2.5555555555555554</v>
      </c>
      <c r="D27">
        <v>2</v>
      </c>
    </row>
    <row r="28" spans="2:7" x14ac:dyDescent="0.25">
      <c r="C28">
        <v>2.6</v>
      </c>
      <c r="D28">
        <v>3</v>
      </c>
    </row>
    <row r="29" spans="2:7" x14ac:dyDescent="0.25">
      <c r="C29">
        <f>3+B23</f>
        <v>3.5555555555555554</v>
      </c>
      <c r="D29">
        <v>3</v>
      </c>
    </row>
    <row r="30" spans="2:7" x14ac:dyDescent="0.25">
      <c r="C30">
        <v>3.6</v>
      </c>
      <c r="D30">
        <v>4</v>
      </c>
    </row>
    <row r="31" spans="2:7" x14ac:dyDescent="0.25">
      <c r="C31">
        <f>4+B23</f>
        <v>4.5555555555555554</v>
      </c>
      <c r="D31">
        <v>4</v>
      </c>
    </row>
    <row r="32" spans="2:7" x14ac:dyDescent="0.25">
      <c r="C32">
        <v>4.5999999999999996</v>
      </c>
      <c r="D32">
        <v>5</v>
      </c>
    </row>
    <row r="33" spans="2:4" x14ac:dyDescent="0.25">
      <c r="C33">
        <f>5+B23</f>
        <v>5.5555555555555554</v>
      </c>
      <c r="D33">
        <v>5</v>
      </c>
    </row>
    <row r="34" spans="2:4" x14ac:dyDescent="0.25">
      <c r="C34">
        <v>5.6</v>
      </c>
      <c r="D34">
        <v>6</v>
      </c>
    </row>
    <row r="35" spans="2:4" x14ac:dyDescent="0.25">
      <c r="C35">
        <f>6+B23</f>
        <v>6.5555555555555554</v>
      </c>
      <c r="D35">
        <v>6</v>
      </c>
    </row>
    <row r="36" spans="2:4" x14ac:dyDescent="0.25">
      <c r="C36">
        <v>6.6</v>
      </c>
      <c r="D36">
        <v>7</v>
      </c>
    </row>
    <row r="37" spans="2:4" x14ac:dyDescent="0.25">
      <c r="C37">
        <f>7+B23</f>
        <v>7.5555555555555554</v>
      </c>
      <c r="D37">
        <v>7</v>
      </c>
    </row>
    <row r="38" spans="2:4" x14ac:dyDescent="0.25">
      <c r="C38">
        <v>7.6</v>
      </c>
      <c r="D38">
        <v>8</v>
      </c>
    </row>
    <row r="39" spans="2:4" x14ac:dyDescent="0.25">
      <c r="C39">
        <f>8+B23</f>
        <v>8.5555555555555554</v>
      </c>
      <c r="D39">
        <v>8</v>
      </c>
    </row>
    <row r="40" spans="2:4" x14ac:dyDescent="0.25">
      <c r="C40">
        <v>8.6</v>
      </c>
      <c r="D40">
        <v>9</v>
      </c>
    </row>
    <row r="41" spans="2:4" x14ac:dyDescent="0.25">
      <c r="C41">
        <f>9+B23</f>
        <v>9.5555555555555554</v>
      </c>
      <c r="D41">
        <v>9</v>
      </c>
    </row>
    <row r="42" spans="2:4" x14ac:dyDescent="0.25">
      <c r="C42">
        <v>9.6</v>
      </c>
      <c r="D42">
        <v>10</v>
      </c>
    </row>
    <row r="43" spans="2:4" x14ac:dyDescent="0.25">
      <c r="C43">
        <f>10+B23</f>
        <v>10.555555555555555</v>
      </c>
      <c r="D43">
        <v>10</v>
      </c>
    </row>
    <row r="44" spans="2:4" x14ac:dyDescent="0.25">
      <c r="C44">
        <v>10.6</v>
      </c>
      <c r="D44">
        <v>11</v>
      </c>
    </row>
    <row r="46" spans="2:4" x14ac:dyDescent="0.25">
      <c r="B46">
        <f>IF(D25="","",IFERROR(IF(AND(D24="",D25=""),"",(D25-DATE(YEAR(D25),MONTH(D25),1))),""))</f>
        <v>0</v>
      </c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7E25-FE46-42EF-B377-9982E84D85E8}">
  <sheetPr codeName="Hoja3"/>
  <dimension ref="C1:M60"/>
  <sheetViews>
    <sheetView workbookViewId="0">
      <selection activeCell="E2" sqref="E2"/>
    </sheetView>
  </sheetViews>
  <sheetFormatPr baseColWidth="10" defaultRowHeight="15" x14ac:dyDescent="0.25"/>
  <cols>
    <col min="3" max="3" width="10.42578125" bestFit="1" customWidth="1"/>
    <col min="4" max="4" width="47.5703125" bestFit="1" customWidth="1"/>
    <col min="9" max="10" width="13.7109375" customWidth="1"/>
    <col min="11" max="11" width="11.85546875" bestFit="1" customWidth="1"/>
  </cols>
  <sheetData>
    <row r="1" spans="3:13" x14ac:dyDescent="0.25">
      <c r="E1">
        <f>IFERROR(ROUND(Simulador!K13,0),"")</f>
        <v>4</v>
      </c>
    </row>
    <row r="2" spans="3:13" x14ac:dyDescent="0.25">
      <c r="F2" s="2">
        <f>Simulador!C11+1</f>
        <v>45839</v>
      </c>
      <c r="G2">
        <f>WEEKDAY(F2,2)</f>
        <v>2</v>
      </c>
      <c r="H2" t="str">
        <f>VLOOKUP(G2,$L$2:$M$8,2,0)</f>
        <v>Martes</v>
      </c>
      <c r="I2" t="str">
        <f>IF(ISERROR(VLOOKUP(F2,$C$4:$D$21,2,0)),"","Festivo")</f>
        <v/>
      </c>
      <c r="J2" t="str">
        <f>IF(AND(I2="Festivo",OR(H2="Domingo",H2="Sábado")),"No","")</f>
        <v/>
      </c>
      <c r="L2">
        <v>1</v>
      </c>
      <c r="M2" t="s">
        <v>29</v>
      </c>
    </row>
    <row r="3" spans="3:13" x14ac:dyDescent="0.25">
      <c r="C3" t="s">
        <v>36</v>
      </c>
      <c r="D3" t="s">
        <v>37</v>
      </c>
      <c r="F3" s="2">
        <f>F2+1</f>
        <v>45840</v>
      </c>
      <c r="G3">
        <f t="shared" ref="G3:G60" si="0">WEEKDAY(F3,2)</f>
        <v>3</v>
      </c>
      <c r="H3" t="str">
        <f t="shared" ref="H3:H60" si="1">VLOOKUP(G3,$L$2:$M$8,2,0)</f>
        <v>Miércoles</v>
      </c>
      <c r="I3" t="str">
        <f t="shared" ref="I3:I60" si="2">IF(ISERROR(VLOOKUP(F3,$C$4:$D$21,2,0)),"","Festivo")</f>
        <v/>
      </c>
      <c r="J3" t="str">
        <f t="shared" ref="J3:J60" si="3">IF(AND(I3="Festivo",OR(H3="Domingo",H3="Sábado")),"No","")</f>
        <v/>
      </c>
      <c r="L3">
        <v>2</v>
      </c>
      <c r="M3" t="s">
        <v>30</v>
      </c>
    </row>
    <row r="4" spans="3:13" x14ac:dyDescent="0.25">
      <c r="C4" s="2">
        <v>44562</v>
      </c>
      <c r="D4" s="2" t="s">
        <v>38</v>
      </c>
      <c r="F4" s="2">
        <f t="shared" ref="F4:F60" si="4">F3+1</f>
        <v>45841</v>
      </c>
      <c r="G4">
        <f t="shared" si="0"/>
        <v>4</v>
      </c>
      <c r="H4" t="str">
        <f t="shared" si="1"/>
        <v>Jueves</v>
      </c>
      <c r="I4" t="str">
        <f t="shared" si="2"/>
        <v/>
      </c>
      <c r="J4" t="str">
        <f t="shared" si="3"/>
        <v/>
      </c>
      <c r="L4">
        <v>3</v>
      </c>
      <c r="M4" t="s">
        <v>31</v>
      </c>
    </row>
    <row r="5" spans="3:13" x14ac:dyDescent="0.25">
      <c r="C5" s="2">
        <v>44621</v>
      </c>
      <c r="D5" s="2" t="s">
        <v>39</v>
      </c>
      <c r="F5" s="2">
        <f t="shared" si="4"/>
        <v>45842</v>
      </c>
      <c r="G5">
        <f t="shared" si="0"/>
        <v>5</v>
      </c>
      <c r="H5" t="str">
        <f t="shared" si="1"/>
        <v>Viernes</v>
      </c>
      <c r="I5" t="str">
        <f t="shared" si="2"/>
        <v/>
      </c>
      <c r="J5" t="str">
        <f t="shared" si="3"/>
        <v/>
      </c>
      <c r="L5">
        <v>4</v>
      </c>
      <c r="M5" t="s">
        <v>32</v>
      </c>
    </row>
    <row r="6" spans="3:13" x14ac:dyDescent="0.25">
      <c r="C6" s="2">
        <v>44666</v>
      </c>
      <c r="D6" s="2" t="s">
        <v>40</v>
      </c>
      <c r="F6" s="2">
        <f t="shared" si="4"/>
        <v>45843</v>
      </c>
      <c r="G6">
        <f t="shared" si="0"/>
        <v>6</v>
      </c>
      <c r="H6" t="str">
        <f t="shared" si="1"/>
        <v>Sábado</v>
      </c>
      <c r="I6" t="str">
        <f t="shared" si="2"/>
        <v/>
      </c>
      <c r="J6" t="str">
        <f t="shared" si="3"/>
        <v/>
      </c>
      <c r="L6">
        <v>5</v>
      </c>
      <c r="M6" t="s">
        <v>33</v>
      </c>
    </row>
    <row r="7" spans="3:13" x14ac:dyDescent="0.25">
      <c r="C7" s="2">
        <v>44668</v>
      </c>
      <c r="D7" s="2" t="s">
        <v>41</v>
      </c>
      <c r="F7" s="2">
        <f t="shared" si="4"/>
        <v>45844</v>
      </c>
      <c r="G7">
        <f t="shared" si="0"/>
        <v>7</v>
      </c>
      <c r="H7" t="str">
        <f t="shared" si="1"/>
        <v>Domingo</v>
      </c>
      <c r="I7" t="str">
        <f t="shared" si="2"/>
        <v/>
      </c>
      <c r="J7" t="str">
        <f t="shared" si="3"/>
        <v/>
      </c>
      <c r="L7">
        <v>6</v>
      </c>
      <c r="M7" t="s">
        <v>34</v>
      </c>
    </row>
    <row r="8" spans="3:13" x14ac:dyDescent="0.25">
      <c r="C8" s="2">
        <v>44682</v>
      </c>
      <c r="D8" s="2" t="s">
        <v>42</v>
      </c>
      <c r="F8" s="2">
        <f t="shared" si="4"/>
        <v>45845</v>
      </c>
      <c r="G8">
        <f t="shared" si="0"/>
        <v>1</v>
      </c>
      <c r="H8" t="str">
        <f t="shared" si="1"/>
        <v>Lunes</v>
      </c>
      <c r="I8" t="str">
        <f t="shared" si="2"/>
        <v/>
      </c>
      <c r="J8" t="str">
        <f t="shared" si="3"/>
        <v/>
      </c>
      <c r="L8">
        <v>7</v>
      </c>
      <c r="M8" t="s">
        <v>35</v>
      </c>
    </row>
    <row r="9" spans="3:13" x14ac:dyDescent="0.25">
      <c r="C9" s="2">
        <v>44702</v>
      </c>
      <c r="D9" s="2" t="s">
        <v>43</v>
      </c>
      <c r="F9" s="2">
        <f t="shared" si="4"/>
        <v>45846</v>
      </c>
      <c r="G9">
        <f t="shared" si="0"/>
        <v>2</v>
      </c>
      <c r="H9" t="str">
        <f t="shared" si="1"/>
        <v>Martes</v>
      </c>
      <c r="I9" t="str">
        <f t="shared" si="2"/>
        <v/>
      </c>
      <c r="J9" t="str">
        <f t="shared" si="3"/>
        <v/>
      </c>
    </row>
    <row r="10" spans="3:13" x14ac:dyDescent="0.25">
      <c r="C10" s="2">
        <v>44719</v>
      </c>
      <c r="D10" s="2" t="s">
        <v>44</v>
      </c>
      <c r="F10" s="2">
        <f t="shared" si="4"/>
        <v>45847</v>
      </c>
      <c r="G10">
        <f t="shared" si="0"/>
        <v>3</v>
      </c>
      <c r="H10" t="str">
        <f t="shared" si="1"/>
        <v>Miércoles</v>
      </c>
      <c r="I10" t="str">
        <f t="shared" si="2"/>
        <v/>
      </c>
      <c r="J10" t="str">
        <f t="shared" si="3"/>
        <v/>
      </c>
    </row>
    <row r="11" spans="3:13" x14ac:dyDescent="0.25">
      <c r="C11" s="2">
        <v>44739</v>
      </c>
      <c r="D11" s="2" t="s">
        <v>45</v>
      </c>
      <c r="F11" s="2">
        <f t="shared" si="4"/>
        <v>45848</v>
      </c>
      <c r="G11">
        <f t="shared" si="0"/>
        <v>4</v>
      </c>
      <c r="H11" t="str">
        <f t="shared" si="1"/>
        <v>Jueves</v>
      </c>
      <c r="I11" t="str">
        <f t="shared" si="2"/>
        <v/>
      </c>
      <c r="J11" t="str">
        <f t="shared" si="3"/>
        <v/>
      </c>
    </row>
    <row r="12" spans="3:13" x14ac:dyDescent="0.25">
      <c r="C12" s="2">
        <v>44741</v>
      </c>
      <c r="D12" s="2" t="s">
        <v>46</v>
      </c>
      <c r="F12" s="2">
        <f t="shared" si="4"/>
        <v>45849</v>
      </c>
      <c r="G12">
        <f t="shared" si="0"/>
        <v>5</v>
      </c>
      <c r="H12" t="str">
        <f t="shared" si="1"/>
        <v>Viernes</v>
      </c>
      <c r="I12" t="str">
        <f t="shared" si="2"/>
        <v/>
      </c>
      <c r="J12" t="str">
        <f t="shared" si="3"/>
        <v/>
      </c>
    </row>
    <row r="13" spans="3:13" x14ac:dyDescent="0.25">
      <c r="C13" s="2">
        <v>44758</v>
      </c>
      <c r="D13" s="2" t="s">
        <v>47</v>
      </c>
      <c r="F13" s="2">
        <f t="shared" si="4"/>
        <v>45850</v>
      </c>
      <c r="G13">
        <f t="shared" si="0"/>
        <v>6</v>
      </c>
      <c r="H13" t="str">
        <f t="shared" si="1"/>
        <v>Sábado</v>
      </c>
      <c r="I13" t="str">
        <f t="shared" si="2"/>
        <v/>
      </c>
      <c r="J13" t="str">
        <f t="shared" si="3"/>
        <v/>
      </c>
    </row>
    <row r="14" spans="3:13" x14ac:dyDescent="0.25">
      <c r="C14" s="2">
        <v>44788</v>
      </c>
      <c r="D14" s="2" t="s">
        <v>48</v>
      </c>
      <c r="F14" s="2">
        <f t="shared" si="4"/>
        <v>45851</v>
      </c>
      <c r="G14">
        <f t="shared" si="0"/>
        <v>7</v>
      </c>
      <c r="H14" t="str">
        <f t="shared" si="1"/>
        <v>Domingo</v>
      </c>
      <c r="I14" t="str">
        <f t="shared" si="2"/>
        <v/>
      </c>
      <c r="J14" t="str">
        <f t="shared" si="3"/>
        <v/>
      </c>
      <c r="L14">
        <f>COUNTIF(H2:H60,"Sábado")+COUNTIF(H2:H60,"Domingo")</f>
        <v>16</v>
      </c>
      <c r="M14" t="s">
        <v>56</v>
      </c>
    </row>
    <row r="15" spans="3:13" x14ac:dyDescent="0.25">
      <c r="C15" s="2">
        <v>44822</v>
      </c>
      <c r="D15" s="2" t="s">
        <v>49</v>
      </c>
      <c r="F15" s="2">
        <f t="shared" si="4"/>
        <v>45852</v>
      </c>
      <c r="G15">
        <f t="shared" si="0"/>
        <v>1</v>
      </c>
      <c r="H15" t="str">
        <f t="shared" si="1"/>
        <v>Lunes</v>
      </c>
      <c r="I15" t="str">
        <f t="shared" si="2"/>
        <v/>
      </c>
      <c r="J15" t="str">
        <f t="shared" si="3"/>
        <v/>
      </c>
      <c r="L15">
        <f>COUNTIFS(I2:I60,"Festivo",J2:J60,"")</f>
        <v>0</v>
      </c>
      <c r="M15" t="s">
        <v>57</v>
      </c>
    </row>
    <row r="16" spans="3:13" x14ac:dyDescent="0.25">
      <c r="C16" s="2">
        <v>44823</v>
      </c>
      <c r="D16" s="2" t="s">
        <v>50</v>
      </c>
      <c r="F16" s="2">
        <f t="shared" si="4"/>
        <v>45853</v>
      </c>
      <c r="G16">
        <f t="shared" si="0"/>
        <v>2</v>
      </c>
      <c r="H16" t="str">
        <f t="shared" si="1"/>
        <v>Martes</v>
      </c>
      <c r="I16" t="str">
        <f t="shared" si="2"/>
        <v/>
      </c>
      <c r="J16" t="str">
        <f t="shared" si="3"/>
        <v/>
      </c>
    </row>
    <row r="17" spans="3:10" x14ac:dyDescent="0.25">
      <c r="C17" s="2">
        <v>44865</v>
      </c>
      <c r="D17" s="2" t="s">
        <v>51</v>
      </c>
      <c r="F17" s="2">
        <f t="shared" si="4"/>
        <v>45854</v>
      </c>
      <c r="G17">
        <f t="shared" si="0"/>
        <v>3</v>
      </c>
      <c r="H17" t="str">
        <f t="shared" si="1"/>
        <v>Miércoles</v>
      </c>
      <c r="I17" t="str">
        <f t="shared" si="2"/>
        <v/>
      </c>
      <c r="J17" t="str">
        <f t="shared" si="3"/>
        <v/>
      </c>
    </row>
    <row r="18" spans="3:10" x14ac:dyDescent="0.25">
      <c r="C18" s="2">
        <v>44865</v>
      </c>
      <c r="D18" s="2" t="s">
        <v>52</v>
      </c>
      <c r="F18" s="2">
        <f>F17+1</f>
        <v>45855</v>
      </c>
      <c r="G18">
        <f t="shared" si="0"/>
        <v>4</v>
      </c>
      <c r="H18" t="str">
        <f t="shared" si="1"/>
        <v>Jueves</v>
      </c>
      <c r="I18" t="str">
        <f t="shared" si="2"/>
        <v/>
      </c>
      <c r="J18" t="str">
        <f t="shared" si="3"/>
        <v/>
      </c>
    </row>
    <row r="19" spans="3:10" x14ac:dyDescent="0.25">
      <c r="C19" s="2">
        <v>44866</v>
      </c>
      <c r="D19" s="2" t="s">
        <v>53</v>
      </c>
      <c r="F19" s="2">
        <f t="shared" si="4"/>
        <v>45856</v>
      </c>
      <c r="G19">
        <f t="shared" si="0"/>
        <v>5</v>
      </c>
      <c r="H19" t="str">
        <f t="shared" si="1"/>
        <v>Viernes</v>
      </c>
      <c r="I19" t="str">
        <f t="shared" si="2"/>
        <v/>
      </c>
      <c r="J19" t="str">
        <f t="shared" si="3"/>
        <v/>
      </c>
    </row>
    <row r="20" spans="3:10" x14ac:dyDescent="0.25">
      <c r="C20" s="2">
        <v>44903</v>
      </c>
      <c r="D20" s="2" t="s">
        <v>54</v>
      </c>
      <c r="F20" s="2">
        <f t="shared" si="4"/>
        <v>45857</v>
      </c>
      <c r="G20">
        <f t="shared" si="0"/>
        <v>6</v>
      </c>
      <c r="H20" t="str">
        <f t="shared" si="1"/>
        <v>Sábado</v>
      </c>
      <c r="I20" t="str">
        <f t="shared" si="2"/>
        <v/>
      </c>
      <c r="J20" t="str">
        <f t="shared" si="3"/>
        <v/>
      </c>
    </row>
    <row r="21" spans="3:10" x14ac:dyDescent="0.25">
      <c r="C21" s="2">
        <v>44920</v>
      </c>
      <c r="D21" s="2" t="s">
        <v>55</v>
      </c>
      <c r="F21" s="2">
        <f t="shared" si="4"/>
        <v>45858</v>
      </c>
      <c r="G21">
        <f t="shared" si="0"/>
        <v>7</v>
      </c>
      <c r="H21" t="str">
        <f t="shared" si="1"/>
        <v>Domingo</v>
      </c>
      <c r="I21" t="str">
        <f t="shared" si="2"/>
        <v/>
      </c>
      <c r="J21" t="str">
        <f t="shared" si="3"/>
        <v/>
      </c>
    </row>
    <row r="22" spans="3:10" x14ac:dyDescent="0.25">
      <c r="C22" s="2"/>
      <c r="D22" s="2"/>
      <c r="F22" s="2">
        <f t="shared" si="4"/>
        <v>45859</v>
      </c>
      <c r="G22">
        <f t="shared" si="0"/>
        <v>1</v>
      </c>
      <c r="H22" t="str">
        <f t="shared" si="1"/>
        <v>Lunes</v>
      </c>
      <c r="I22" t="str">
        <f t="shared" si="2"/>
        <v/>
      </c>
      <c r="J22" t="str">
        <f t="shared" si="3"/>
        <v/>
      </c>
    </row>
    <row r="23" spans="3:10" x14ac:dyDescent="0.25">
      <c r="D23" s="2"/>
      <c r="F23" s="2">
        <f t="shared" si="4"/>
        <v>45860</v>
      </c>
      <c r="G23">
        <f t="shared" si="0"/>
        <v>2</v>
      </c>
      <c r="H23" t="str">
        <f t="shared" si="1"/>
        <v>Martes</v>
      </c>
      <c r="I23" t="str">
        <f t="shared" si="2"/>
        <v/>
      </c>
      <c r="J23" t="str">
        <f t="shared" si="3"/>
        <v/>
      </c>
    </row>
    <row r="24" spans="3:10" x14ac:dyDescent="0.25">
      <c r="D24" s="2"/>
      <c r="F24" s="2">
        <f t="shared" si="4"/>
        <v>45861</v>
      </c>
      <c r="G24">
        <f t="shared" si="0"/>
        <v>3</v>
      </c>
      <c r="H24" t="str">
        <f t="shared" si="1"/>
        <v>Miércoles</v>
      </c>
      <c r="I24" t="str">
        <f t="shared" si="2"/>
        <v/>
      </c>
      <c r="J24" t="str">
        <f t="shared" si="3"/>
        <v/>
      </c>
    </row>
    <row r="25" spans="3:10" x14ac:dyDescent="0.25">
      <c r="D25" s="2"/>
      <c r="F25" s="2">
        <f t="shared" si="4"/>
        <v>45862</v>
      </c>
      <c r="G25">
        <f t="shared" si="0"/>
        <v>4</v>
      </c>
      <c r="H25" t="str">
        <f t="shared" si="1"/>
        <v>Jueves</v>
      </c>
      <c r="I25" t="str">
        <f t="shared" si="2"/>
        <v/>
      </c>
      <c r="J25" t="str">
        <f t="shared" si="3"/>
        <v/>
      </c>
    </row>
    <row r="26" spans="3:10" x14ac:dyDescent="0.25">
      <c r="D26" s="2"/>
      <c r="F26" s="2">
        <f t="shared" si="4"/>
        <v>45863</v>
      </c>
      <c r="G26">
        <f t="shared" si="0"/>
        <v>5</v>
      </c>
      <c r="H26" t="str">
        <f t="shared" si="1"/>
        <v>Viernes</v>
      </c>
      <c r="I26" t="str">
        <f t="shared" si="2"/>
        <v/>
      </c>
      <c r="J26" t="str">
        <f t="shared" si="3"/>
        <v/>
      </c>
    </row>
    <row r="27" spans="3:10" x14ac:dyDescent="0.25">
      <c r="D27" s="2"/>
      <c r="F27" s="2">
        <f t="shared" si="4"/>
        <v>45864</v>
      </c>
      <c r="G27">
        <f t="shared" si="0"/>
        <v>6</v>
      </c>
      <c r="H27" t="str">
        <f t="shared" si="1"/>
        <v>Sábado</v>
      </c>
      <c r="I27" t="str">
        <f t="shared" si="2"/>
        <v/>
      </c>
      <c r="J27" t="str">
        <f t="shared" si="3"/>
        <v/>
      </c>
    </row>
    <row r="28" spans="3:10" x14ac:dyDescent="0.25">
      <c r="D28" s="2"/>
      <c r="F28" s="2">
        <f t="shared" si="4"/>
        <v>45865</v>
      </c>
      <c r="G28">
        <f t="shared" si="0"/>
        <v>7</v>
      </c>
      <c r="H28" t="str">
        <f t="shared" si="1"/>
        <v>Domingo</v>
      </c>
      <c r="I28" t="str">
        <f t="shared" si="2"/>
        <v/>
      </c>
      <c r="J28" t="str">
        <f t="shared" si="3"/>
        <v/>
      </c>
    </row>
    <row r="29" spans="3:10" x14ac:dyDescent="0.25">
      <c r="D29" s="2"/>
      <c r="F29" s="2">
        <f t="shared" si="4"/>
        <v>45866</v>
      </c>
      <c r="G29">
        <f t="shared" si="0"/>
        <v>1</v>
      </c>
      <c r="H29" t="str">
        <f t="shared" si="1"/>
        <v>Lunes</v>
      </c>
      <c r="I29" t="str">
        <f t="shared" si="2"/>
        <v/>
      </c>
      <c r="J29" t="str">
        <f t="shared" si="3"/>
        <v/>
      </c>
    </row>
    <row r="30" spans="3:10" x14ac:dyDescent="0.25">
      <c r="D30" s="2"/>
      <c r="F30" s="2">
        <f t="shared" si="4"/>
        <v>45867</v>
      </c>
      <c r="G30">
        <f t="shared" si="0"/>
        <v>2</v>
      </c>
      <c r="H30" t="str">
        <f t="shared" si="1"/>
        <v>Martes</v>
      </c>
      <c r="I30" t="str">
        <f t="shared" si="2"/>
        <v/>
      </c>
      <c r="J30" t="str">
        <f t="shared" si="3"/>
        <v/>
      </c>
    </row>
    <row r="31" spans="3:10" x14ac:dyDescent="0.25">
      <c r="D31" s="2"/>
      <c r="F31" s="2">
        <f t="shared" si="4"/>
        <v>45868</v>
      </c>
      <c r="G31">
        <f t="shared" si="0"/>
        <v>3</v>
      </c>
      <c r="H31" t="str">
        <f t="shared" si="1"/>
        <v>Miércoles</v>
      </c>
      <c r="I31" t="str">
        <f t="shared" si="2"/>
        <v/>
      </c>
      <c r="J31" t="str">
        <f t="shared" si="3"/>
        <v/>
      </c>
    </row>
    <row r="32" spans="3:10" x14ac:dyDescent="0.25">
      <c r="F32" s="2">
        <f t="shared" si="4"/>
        <v>45869</v>
      </c>
      <c r="G32">
        <f t="shared" si="0"/>
        <v>4</v>
      </c>
      <c r="H32" t="str">
        <f t="shared" si="1"/>
        <v>Jueves</v>
      </c>
      <c r="I32" t="str">
        <f t="shared" si="2"/>
        <v/>
      </c>
      <c r="J32" t="str">
        <f t="shared" si="3"/>
        <v/>
      </c>
    </row>
    <row r="33" spans="6:10" x14ac:dyDescent="0.25">
      <c r="F33" s="2">
        <f t="shared" si="4"/>
        <v>45870</v>
      </c>
      <c r="G33">
        <f t="shared" si="0"/>
        <v>5</v>
      </c>
      <c r="H33" t="str">
        <f t="shared" si="1"/>
        <v>Viernes</v>
      </c>
      <c r="I33" t="str">
        <f t="shared" si="2"/>
        <v/>
      </c>
      <c r="J33" t="str">
        <f t="shared" si="3"/>
        <v/>
      </c>
    </row>
    <row r="34" spans="6:10" x14ac:dyDescent="0.25">
      <c r="F34" s="2">
        <f t="shared" si="4"/>
        <v>45871</v>
      </c>
      <c r="G34">
        <f t="shared" si="0"/>
        <v>6</v>
      </c>
      <c r="H34" t="str">
        <f t="shared" si="1"/>
        <v>Sábado</v>
      </c>
      <c r="I34" t="str">
        <f t="shared" si="2"/>
        <v/>
      </c>
      <c r="J34" t="str">
        <f t="shared" si="3"/>
        <v/>
      </c>
    </row>
    <row r="35" spans="6:10" x14ac:dyDescent="0.25">
      <c r="F35" s="2">
        <f t="shared" si="4"/>
        <v>45872</v>
      </c>
      <c r="G35">
        <f t="shared" si="0"/>
        <v>7</v>
      </c>
      <c r="H35" t="str">
        <f t="shared" si="1"/>
        <v>Domingo</v>
      </c>
      <c r="I35" t="str">
        <f t="shared" si="2"/>
        <v/>
      </c>
      <c r="J35" t="str">
        <f t="shared" si="3"/>
        <v/>
      </c>
    </row>
    <row r="36" spans="6:10" x14ac:dyDescent="0.25">
      <c r="F36" s="2">
        <f t="shared" si="4"/>
        <v>45873</v>
      </c>
      <c r="G36">
        <f t="shared" si="0"/>
        <v>1</v>
      </c>
      <c r="H36" t="str">
        <f t="shared" si="1"/>
        <v>Lunes</v>
      </c>
      <c r="I36" t="str">
        <f t="shared" si="2"/>
        <v/>
      </c>
      <c r="J36" t="str">
        <f t="shared" si="3"/>
        <v/>
      </c>
    </row>
    <row r="37" spans="6:10" x14ac:dyDescent="0.25">
      <c r="F37" s="2">
        <f t="shared" si="4"/>
        <v>45874</v>
      </c>
      <c r="G37">
        <f t="shared" si="0"/>
        <v>2</v>
      </c>
      <c r="H37" t="str">
        <f t="shared" si="1"/>
        <v>Martes</v>
      </c>
      <c r="I37" t="str">
        <f t="shared" si="2"/>
        <v/>
      </c>
      <c r="J37" t="str">
        <f t="shared" si="3"/>
        <v/>
      </c>
    </row>
    <row r="38" spans="6:10" x14ac:dyDescent="0.25">
      <c r="F38" s="2">
        <f t="shared" si="4"/>
        <v>45875</v>
      </c>
      <c r="G38">
        <f t="shared" si="0"/>
        <v>3</v>
      </c>
      <c r="H38" t="str">
        <f t="shared" si="1"/>
        <v>Miércoles</v>
      </c>
      <c r="I38" t="str">
        <f t="shared" si="2"/>
        <v/>
      </c>
      <c r="J38" t="str">
        <f t="shared" si="3"/>
        <v/>
      </c>
    </row>
    <row r="39" spans="6:10" x14ac:dyDescent="0.25">
      <c r="F39" s="2">
        <f t="shared" si="4"/>
        <v>45876</v>
      </c>
      <c r="G39">
        <f t="shared" si="0"/>
        <v>4</v>
      </c>
      <c r="H39" t="str">
        <f t="shared" si="1"/>
        <v>Jueves</v>
      </c>
      <c r="I39" t="str">
        <f t="shared" si="2"/>
        <v/>
      </c>
      <c r="J39" t="str">
        <f t="shared" si="3"/>
        <v/>
      </c>
    </row>
    <row r="40" spans="6:10" x14ac:dyDescent="0.25">
      <c r="F40" s="2">
        <f t="shared" si="4"/>
        <v>45877</v>
      </c>
      <c r="G40">
        <f t="shared" si="0"/>
        <v>5</v>
      </c>
      <c r="H40" t="str">
        <f t="shared" si="1"/>
        <v>Viernes</v>
      </c>
      <c r="I40" t="str">
        <f t="shared" si="2"/>
        <v/>
      </c>
      <c r="J40" t="str">
        <f t="shared" si="3"/>
        <v/>
      </c>
    </row>
    <row r="41" spans="6:10" x14ac:dyDescent="0.25">
      <c r="F41" s="2">
        <f t="shared" si="4"/>
        <v>45878</v>
      </c>
      <c r="G41">
        <f t="shared" si="0"/>
        <v>6</v>
      </c>
      <c r="H41" t="str">
        <f t="shared" si="1"/>
        <v>Sábado</v>
      </c>
      <c r="I41" t="str">
        <f t="shared" si="2"/>
        <v/>
      </c>
      <c r="J41" t="str">
        <f t="shared" si="3"/>
        <v/>
      </c>
    </row>
    <row r="42" spans="6:10" x14ac:dyDescent="0.25">
      <c r="F42" s="2">
        <f t="shared" si="4"/>
        <v>45879</v>
      </c>
      <c r="G42">
        <f t="shared" si="0"/>
        <v>7</v>
      </c>
      <c r="H42" t="str">
        <f t="shared" si="1"/>
        <v>Domingo</v>
      </c>
      <c r="I42" t="str">
        <f t="shared" si="2"/>
        <v/>
      </c>
      <c r="J42" t="str">
        <f t="shared" si="3"/>
        <v/>
      </c>
    </row>
    <row r="43" spans="6:10" x14ac:dyDescent="0.25">
      <c r="F43" s="2">
        <f t="shared" si="4"/>
        <v>45880</v>
      </c>
      <c r="G43">
        <f t="shared" si="0"/>
        <v>1</v>
      </c>
      <c r="H43" t="str">
        <f t="shared" si="1"/>
        <v>Lunes</v>
      </c>
      <c r="I43" t="str">
        <f t="shared" si="2"/>
        <v/>
      </c>
      <c r="J43" t="str">
        <f t="shared" si="3"/>
        <v/>
      </c>
    </row>
    <row r="44" spans="6:10" x14ac:dyDescent="0.25">
      <c r="F44" s="2">
        <f t="shared" si="4"/>
        <v>45881</v>
      </c>
      <c r="G44">
        <f t="shared" si="0"/>
        <v>2</v>
      </c>
      <c r="H44" t="str">
        <f t="shared" si="1"/>
        <v>Martes</v>
      </c>
      <c r="I44" t="str">
        <f t="shared" si="2"/>
        <v/>
      </c>
      <c r="J44" t="str">
        <f t="shared" si="3"/>
        <v/>
      </c>
    </row>
    <row r="45" spans="6:10" x14ac:dyDescent="0.25">
      <c r="F45" s="2">
        <f t="shared" si="4"/>
        <v>45882</v>
      </c>
      <c r="G45">
        <f t="shared" si="0"/>
        <v>3</v>
      </c>
      <c r="H45" t="str">
        <f t="shared" si="1"/>
        <v>Miércoles</v>
      </c>
      <c r="I45" t="str">
        <f t="shared" si="2"/>
        <v/>
      </c>
      <c r="J45" t="str">
        <f t="shared" si="3"/>
        <v/>
      </c>
    </row>
    <row r="46" spans="6:10" x14ac:dyDescent="0.25">
      <c r="F46" s="2">
        <f t="shared" si="4"/>
        <v>45883</v>
      </c>
      <c r="G46">
        <f t="shared" si="0"/>
        <v>4</v>
      </c>
      <c r="H46" t="str">
        <f t="shared" si="1"/>
        <v>Jueves</v>
      </c>
      <c r="I46" t="str">
        <f t="shared" si="2"/>
        <v/>
      </c>
      <c r="J46" t="str">
        <f t="shared" si="3"/>
        <v/>
      </c>
    </row>
    <row r="47" spans="6:10" x14ac:dyDescent="0.25">
      <c r="F47" s="2">
        <f t="shared" si="4"/>
        <v>45884</v>
      </c>
      <c r="G47">
        <f t="shared" si="0"/>
        <v>5</v>
      </c>
      <c r="H47" t="str">
        <f t="shared" si="1"/>
        <v>Viernes</v>
      </c>
      <c r="I47" t="str">
        <f t="shared" si="2"/>
        <v/>
      </c>
      <c r="J47" t="str">
        <f t="shared" si="3"/>
        <v/>
      </c>
    </row>
    <row r="48" spans="6:10" x14ac:dyDescent="0.25">
      <c r="F48" s="2">
        <f t="shared" si="4"/>
        <v>45885</v>
      </c>
      <c r="G48">
        <f t="shared" si="0"/>
        <v>6</v>
      </c>
      <c r="H48" t="str">
        <f t="shared" si="1"/>
        <v>Sábado</v>
      </c>
      <c r="I48" t="str">
        <f t="shared" si="2"/>
        <v/>
      </c>
      <c r="J48" t="str">
        <f t="shared" si="3"/>
        <v/>
      </c>
    </row>
    <row r="49" spans="6:10" x14ac:dyDescent="0.25">
      <c r="F49" s="2">
        <f t="shared" si="4"/>
        <v>45886</v>
      </c>
      <c r="G49">
        <f t="shared" si="0"/>
        <v>7</v>
      </c>
      <c r="H49" t="str">
        <f t="shared" si="1"/>
        <v>Domingo</v>
      </c>
      <c r="I49" t="str">
        <f t="shared" si="2"/>
        <v/>
      </c>
      <c r="J49" t="str">
        <f t="shared" si="3"/>
        <v/>
      </c>
    </row>
    <row r="50" spans="6:10" x14ac:dyDescent="0.25">
      <c r="F50" s="2">
        <f t="shared" si="4"/>
        <v>45887</v>
      </c>
      <c r="G50">
        <f t="shared" si="0"/>
        <v>1</v>
      </c>
      <c r="H50" t="str">
        <f t="shared" si="1"/>
        <v>Lunes</v>
      </c>
      <c r="I50" t="str">
        <f t="shared" si="2"/>
        <v/>
      </c>
      <c r="J50" t="str">
        <f t="shared" si="3"/>
        <v/>
      </c>
    </row>
    <row r="51" spans="6:10" x14ac:dyDescent="0.25">
      <c r="F51" s="2">
        <f t="shared" si="4"/>
        <v>45888</v>
      </c>
      <c r="G51">
        <f t="shared" si="0"/>
        <v>2</v>
      </c>
      <c r="H51" t="str">
        <f t="shared" si="1"/>
        <v>Martes</v>
      </c>
      <c r="I51" t="str">
        <f t="shared" si="2"/>
        <v/>
      </c>
      <c r="J51" t="str">
        <f t="shared" si="3"/>
        <v/>
      </c>
    </row>
    <row r="52" spans="6:10" x14ac:dyDescent="0.25">
      <c r="F52" s="2">
        <f t="shared" si="4"/>
        <v>45889</v>
      </c>
      <c r="G52">
        <f t="shared" si="0"/>
        <v>3</v>
      </c>
      <c r="H52" t="str">
        <f t="shared" si="1"/>
        <v>Miércoles</v>
      </c>
      <c r="I52" t="str">
        <f t="shared" si="2"/>
        <v/>
      </c>
      <c r="J52" t="str">
        <f t="shared" si="3"/>
        <v/>
      </c>
    </row>
    <row r="53" spans="6:10" x14ac:dyDescent="0.25">
      <c r="F53" s="2">
        <f t="shared" si="4"/>
        <v>45890</v>
      </c>
      <c r="G53">
        <f t="shared" si="0"/>
        <v>4</v>
      </c>
      <c r="H53" t="str">
        <f t="shared" si="1"/>
        <v>Jueves</v>
      </c>
      <c r="I53" t="str">
        <f t="shared" si="2"/>
        <v/>
      </c>
      <c r="J53" t="str">
        <f t="shared" si="3"/>
        <v/>
      </c>
    </row>
    <row r="54" spans="6:10" x14ac:dyDescent="0.25">
      <c r="F54" s="2">
        <f t="shared" si="4"/>
        <v>45891</v>
      </c>
      <c r="G54">
        <f t="shared" si="0"/>
        <v>5</v>
      </c>
      <c r="H54" t="str">
        <f t="shared" si="1"/>
        <v>Viernes</v>
      </c>
      <c r="I54" t="str">
        <f t="shared" si="2"/>
        <v/>
      </c>
      <c r="J54" t="str">
        <f t="shared" si="3"/>
        <v/>
      </c>
    </row>
    <row r="55" spans="6:10" x14ac:dyDescent="0.25">
      <c r="F55" s="2">
        <f t="shared" si="4"/>
        <v>45892</v>
      </c>
      <c r="G55">
        <f t="shared" si="0"/>
        <v>6</v>
      </c>
      <c r="H55" t="str">
        <f t="shared" si="1"/>
        <v>Sábado</v>
      </c>
      <c r="I55" t="str">
        <f t="shared" si="2"/>
        <v/>
      </c>
      <c r="J55" t="str">
        <f t="shared" si="3"/>
        <v/>
      </c>
    </row>
    <row r="56" spans="6:10" x14ac:dyDescent="0.25">
      <c r="F56" s="2">
        <f t="shared" si="4"/>
        <v>45893</v>
      </c>
      <c r="G56">
        <f t="shared" si="0"/>
        <v>7</v>
      </c>
      <c r="H56" t="str">
        <f t="shared" si="1"/>
        <v>Domingo</v>
      </c>
      <c r="I56" t="str">
        <f t="shared" si="2"/>
        <v/>
      </c>
      <c r="J56" t="str">
        <f t="shared" si="3"/>
        <v/>
      </c>
    </row>
    <row r="57" spans="6:10" x14ac:dyDescent="0.25">
      <c r="F57" s="2">
        <f t="shared" si="4"/>
        <v>45894</v>
      </c>
      <c r="G57">
        <f t="shared" si="0"/>
        <v>1</v>
      </c>
      <c r="H57" t="str">
        <f t="shared" si="1"/>
        <v>Lunes</v>
      </c>
      <c r="I57" t="str">
        <f t="shared" si="2"/>
        <v/>
      </c>
      <c r="J57" t="str">
        <f t="shared" si="3"/>
        <v/>
      </c>
    </row>
    <row r="58" spans="6:10" x14ac:dyDescent="0.25">
      <c r="F58" s="2">
        <f t="shared" si="4"/>
        <v>45895</v>
      </c>
      <c r="G58">
        <f t="shared" si="0"/>
        <v>2</v>
      </c>
      <c r="H58" t="str">
        <f t="shared" si="1"/>
        <v>Martes</v>
      </c>
      <c r="I58" t="str">
        <f t="shared" si="2"/>
        <v/>
      </c>
      <c r="J58" t="str">
        <f t="shared" si="3"/>
        <v/>
      </c>
    </row>
    <row r="59" spans="6:10" x14ac:dyDescent="0.25">
      <c r="F59" s="2">
        <f t="shared" si="4"/>
        <v>45896</v>
      </c>
      <c r="G59">
        <f t="shared" si="0"/>
        <v>3</v>
      </c>
      <c r="H59" t="str">
        <f t="shared" si="1"/>
        <v>Miércoles</v>
      </c>
      <c r="I59" t="str">
        <f t="shared" si="2"/>
        <v/>
      </c>
      <c r="J59" t="str">
        <f t="shared" si="3"/>
        <v/>
      </c>
    </row>
    <row r="60" spans="6:10" x14ac:dyDescent="0.25">
      <c r="F60" s="2">
        <f t="shared" si="4"/>
        <v>45897</v>
      </c>
      <c r="G60">
        <f t="shared" si="0"/>
        <v>4</v>
      </c>
      <c r="H60" t="str">
        <f t="shared" si="1"/>
        <v>Jueves</v>
      </c>
      <c r="I60" t="str">
        <f t="shared" si="2"/>
        <v/>
      </c>
      <c r="J60" t="str">
        <f t="shared" si="3"/>
        <v/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Y E A A B Q S w M E F A A C A A g A 1 F 7 1 W q O 1 V P 2 k A A A A 9 w A A A B I A H A B D b 2 5 m a W c v U G F j a 2 F n Z S 5 4 b W w g o h g A K K A U A A A A A A A A A A A A A A A A A A A A A A A A A A A A h Y + x D o I w G I R f h X S n L Z X B k J 8 y s E J i Y m J c m 1 K h A Y q h x f J u D j 6 S r y B G U T e H G + 7 u G + 7 u 1 x t k c 9 8 F F z V a P Z g U R Z i i Q B k 5 V N r U K Z r c K d y i j M N O y F b U K l h g Y 5 P Z V i l q n D s n h H j v s d / g Y a w J o z Q i x 7 L Y y 0 b 1 A n 1 g / R 8 O t b F O G K k Q h 8 N r D G c 4 i u N F l G E K Z E 2 h 1 O Z L s G X w s / 0 J I Z 8 6 N 4 2 K K x v m B Z D V A n m f 4 A 9 Q S w M E F A A C A A g A 1 F 7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R e 9 V o I U F 2 j k A E A A N A J A A A T A B w A R m 9 y b X V s Y X M v U 2 V j d G l v b j E u b S C i G A A o o B Q A A A A A A A A A A A A A A A A A A A A A A A A A A A D t V t 1 q w j A Y v R d 8 h 4 / s p m 5 d R d s r x Y E / A w e 6 g R Z 2 I V 7 E N s 5 C T E q S 0 Q 3 x k f Y U e 7 E l 1 g 2 d H b Q 4 B g 5 7 0 d L T 5 J y v 3 3 d K j y S B i j i D c X q t N c u l c k k u s C A h X C A f z y i G G o I W U K L K J d D H g 4 i e C N P I I 5 k 5 H c E T S U S X M 0 W Y k h Z a K B X L R r W a J I k z J y L C I Z d O Q K u o Y q f b P 0 n J i x L 4 / S 3 E g C H G Q k U C Q g J 9 f z g w a n 2 1 p I 5 Z S K x U z 4 b V C n U 5 f V 6 y G r I B D d t 3 9 3 A D f r s z u G 0 w t b g O F h E N r V p F g 5 f m w c i c e p O A U x l j 1 k L I Q 2 j a Y F x Z E 1 O z x q a V v Y 2 b G 4 q l + k J s y K f S T 2 m 3 U o Y 2 v 4 q X W 6 V 3 l A p a 6 w 5 u G 1 j / X w 2 E q y I M 9 Q M G 9 4 9 G Y O r M z 5 B V 5 + 4 Q 3 f M Q 9 5 t T j M E 9 Y K i f j A 2 K M W S 9 6 a 6 R v L O R f t t I x R i 8 I 3 p 1 + l Y s x p D V K 7 T W b p 6 M e D I m V K c Y L l o 5 7 I y m O 4 E k i j k E e D k z a c W k j 0 3 w c H y B m Z x z s U y / E / 8 1 J t L K E V / s v a S i 9 D Z Q e v m 3 H 3 A W 7 v 6 A e 3 v 4 u l I u R S y 7 + O Y H U E s B A i 0 A F A A C A A g A 1 F 7 1 W q O 1 V P 2 k A A A A 9 w A A A B I A A A A A A A A A A A A A A A A A A A A A A E N v b m Z p Z y 9 Q Y W N r Y W d l L n h t b F B L A Q I t A B Q A A g A I A N R e 9 V o P y u m r p A A A A O k A A A A T A A A A A A A A A A A A A A A A A P A A A A B b Q 2 9 u d G V u d F 9 U e X B l c 1 0 u e G 1 s U E s B A i 0 A F A A C A A g A 1 F 7 1 W g h Q X a O Q A Q A A 0 A k A A B M A A A A A A A A A A A A A A A A A 4 Q E A A E Z v c m 1 1 b G F z L 1 N l Y 3 R p b 2 4 x L m 1 Q S w U G A A A A A A M A A w D C A A A A v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Q o A A A A A A A B z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J T I w M T w v S X R l b V B h d G g + P C 9 J d G V t T G 9 j Y X R p b 2 4 + P F N 0 Y W J s Z U V u d H J p Z X M + P E V u d H J 5 I F R 5 c G U 9 I l F 1 Z X J 5 S U Q i I F Z h b H V l P S J z N j V j N 2 Y 1 Z j Q t M m U x N y 0 0 M j h m L T g 3 O T M t Z j c 1 M T l j N 2 Y 0 M W J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R h Y m x h X z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g M S 9 B d X R v U m V t b 3 Z l Z E N v b H V t b n M x L n t D b 2 x 1 b W 4 x L D B 9 J n F 1 b 3 Q 7 L C Z x d W 9 0 O 1 N l Y 3 R p b 2 4 x L 1 R h Y m x h I D E v Q X V 0 b 1 J l b W 9 2 Z W R D b 2 x 1 b W 5 z M S 5 7 Q 2 9 s d W 1 u M i w x f S Z x d W 9 0 O y w m c X V v d D t T Z W N 0 a W 9 u M S 9 U Y W J s Y S A x L 0 F 1 d G 9 S Z W 1 v d m V k Q 2 9 s d W 1 u c z E u e 0 N v b H V t b j M s M n 0 m c X V v d D s s J n F 1 b 3 Q 7 U 2 V j d G l v b j E v V G F i b G E g M S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h I D E v Q X V 0 b 1 J l b W 9 2 Z W R D b 2 x 1 b W 5 z M S 5 7 Q 2 9 s d W 1 u M S w w f S Z x d W 9 0 O y w m c X V v d D t T Z W N 0 a W 9 u M S 9 U Y W J s Y S A x L 0 F 1 d G 9 S Z W 1 v d m V k Q 2 9 s d W 1 u c z E u e 0 N v b H V t b j I s M X 0 m c X V v d D s s J n F 1 b 3 Q 7 U 2 V j d G l v b j E v V G F i b G E g M S 9 B d X R v U m V t b 3 Z l Z E N v b H V t b n M x L n t D b 2 x 1 b W 4 z L D J 9 J n F 1 b 3 Q 7 L C Z x d W 9 0 O 1 N l Y 3 R p b 2 4 x L 1 R h Y m x h I D E v Q X V 0 b 1 J l b W 9 2 Z W R D b 2 x 1 b W 5 z M S 5 7 Q 2 9 s d W 1 u N C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D b 2 x 1 b W 5 U e X B l c y I g V m F s d W U 9 I n N C Z 1 l H Q m c 9 P S I g L z 4 8 R W 5 0 c n k g V H l w Z T 0 i R m l s b E x h c 3 R V c G R h d G V k I i B W Y W x 1 Z T 0 i Z D I w M j U t M D c t M j F U M T U 6 M z M 6 N D c u N T Y 5 O T Q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l M j A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J T I w M S 9 U Y W J s Y S U y M G V 4 d H J h J U M z J U F E Z G E l M j B h J T I w c G F y d G l y J T I w Z G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l M j A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X N 4 h J c r g T L / o M a p 9 T D D 1 A A A A A A I A A A A A A B B m A A A A A Q A A I A A A A L X R m I r F q B E x 7 4 z E U C k s p m D V r Y E + d g 7 z O J 5 Z j B c / m m V s A A A A A A 6 A A A A A A g A A I A A A A E L p p k M r F P j A m Q U 0 a 3 8 J N T z p u A e h N n y 6 2 i D X m n h j n V O F U A A A A O x L 4 T A G R + h W n L 8 E 5 6 t 5 X L 2 s n 0 i T T H e F a Q M h m V + e c 4 w Z m 7 c X Y g r I E v F f Y d o n A J C n z U O N W 4 h f T r / V l a g j u L n S b b L R K n a X y 1 z S H P j K h U f q 4 7 K F Q A A A A B l I Q x w q F c A D O H q F S Z i o + V O v g C 3 r Y P 6 8 M 5 Y s R b I + z g e U l W j C v j 4 5 q Z 0 i g 7 t U q 2 T W A H 4 g t O + o m R o j H Y 6 I 5 Z Y D J / U = < / D a t a M a s h u p > 
</file>

<file path=customXml/itemProps1.xml><?xml version="1.0" encoding="utf-8"?>
<ds:datastoreItem xmlns:ds="http://schemas.openxmlformats.org/officeDocument/2006/customXml" ds:itemID="{266F4404-090D-4954-9112-9B5BF1361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Simulador</vt:lpstr>
      <vt:lpstr>Feriados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Victor  Antio</cp:lastModifiedBy>
  <cp:lastPrinted>2025-07-21T17:12:08Z</cp:lastPrinted>
  <dcterms:created xsi:type="dcterms:W3CDTF">2021-12-28T16:15:24Z</dcterms:created>
  <dcterms:modified xsi:type="dcterms:W3CDTF">2025-07-21T19:09:24Z</dcterms:modified>
</cp:coreProperties>
</file>